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ex-fs-1\Departments\Planning\GreenInfrastructureGrant2017\"/>
    </mc:Choice>
  </mc:AlternateContent>
  <bookViews>
    <workbookView xWindow="0" yWindow="0" windowWidth="21600" windowHeight="9735"/>
  </bookViews>
  <sheets>
    <sheet name="Summary" sheetId="12" r:id="rId1"/>
    <sheet name="1" sheetId="8" r:id="rId2"/>
    <sheet name="2" sheetId="35" r:id="rId3"/>
    <sheet name="3" sheetId="34" r:id="rId4"/>
    <sheet name="4" sheetId="32" r:id="rId5"/>
    <sheet name="5" sheetId="31" r:id="rId6"/>
    <sheet name="6" sheetId="30" r:id="rId7"/>
    <sheet name="7" sheetId="33" r:id="rId8"/>
    <sheet name="TheModel" sheetId="11" r:id="rId9"/>
    <sheet name="Events" sheetId="4" r:id="rId10"/>
    <sheet name="Landcover" sheetId="6" r:id="rId11"/>
    <sheet name="LandcoverPotential" sheetId="7" r:id="rId12"/>
    <sheet name="LC_HSG_Data" sheetId="28" r:id="rId13"/>
    <sheet name="Instructions" sheetId="29" r:id="rId14"/>
  </sheets>
  <externalReferences>
    <externalReference r:id="rId15"/>
  </externalReferences>
  <definedNames>
    <definedName name="CCN_Bare_earth">[1]Options!$G$15</definedName>
    <definedName name="CCN_Impervious">[1]Options!$F$15</definedName>
    <definedName name="CCN_Pervious">[1]Options!$D$15</definedName>
    <definedName name="CCN_Tree_over_impervious">[1]Options!$C$15</definedName>
    <definedName name="CCN_TreeCanopy">[1]Options!$B$15</definedName>
    <definedName name="Ci">TheModel!$I$44:$K$44</definedName>
    <definedName name="CNadj">Events!$C$12</definedName>
    <definedName name="CommunityName">Summary!$A$1</definedName>
    <definedName name="CompositeCN">LC_HSG_Data!$BY$6:$CH$69</definedName>
    <definedName name="Conversion_factor">[1]Options!$B$24</definedName>
    <definedName name="Design_Event">Events!$B$2:$B$9</definedName>
    <definedName name="LANDCOVER">Landcover!$A$4:$L$68</definedName>
    <definedName name="LANDCOVERPOT">LandcoverPotential!$A$4:$L$68</definedName>
    <definedName name="LossCF" localSheetId="2">'2'!$Q$21</definedName>
    <definedName name="LossCF" localSheetId="3">'3'!$Q$21</definedName>
    <definedName name="LossCF" localSheetId="4">'4'!$Q$21</definedName>
    <definedName name="LossCF" localSheetId="5">'5'!$Q$21</definedName>
    <definedName name="LossCF" localSheetId="6">'6'!$Q$21</definedName>
    <definedName name="LossCF" localSheetId="7">'7'!$Q$21</definedName>
    <definedName name="LossCF">'1'!$Q$21</definedName>
    <definedName name="ModelCi">Events!$C$13</definedName>
    <definedName name="TCN">TheModel!$I$45:$K$45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2" l="1"/>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T20" i="33"/>
  <c r="T20" i="30"/>
  <c r="T20" i="31"/>
  <c r="T20" i="32"/>
  <c r="T20" i="34"/>
  <c r="T20" i="35"/>
  <c r="Q25" i="8"/>
  <c r="F24" i="12"/>
  <c r="E31" i="12"/>
  <c r="D38" i="12"/>
  <c r="C45" i="12"/>
  <c r="G49" i="12"/>
  <c r="F56" i="12"/>
  <c r="E63" i="12"/>
  <c r="D70" i="12"/>
  <c r="G56" i="12"/>
  <c r="F71" i="12"/>
  <c r="D21" i="12"/>
  <c r="C28" i="12"/>
  <c r="G32" i="12"/>
  <c r="F39" i="12"/>
  <c r="E46" i="12"/>
  <c r="D53" i="12"/>
  <c r="E62" i="12"/>
  <c r="G72" i="12"/>
  <c r="E21" i="12"/>
  <c r="D28" i="12"/>
  <c r="C35" i="12"/>
  <c r="G39" i="12"/>
  <c r="F46" i="12"/>
  <c r="E53" i="12"/>
  <c r="D60" i="12"/>
  <c r="C67" i="12"/>
  <c r="G71" i="12"/>
  <c r="C58" i="12"/>
  <c r="G70" i="12"/>
  <c r="F21" i="12"/>
  <c r="E28" i="12"/>
  <c r="D35" i="12"/>
  <c r="C42" i="12"/>
  <c r="G46" i="12"/>
  <c r="G54" i="12"/>
  <c r="E68" i="12"/>
  <c r="D63" i="12"/>
  <c r="C25" i="12"/>
  <c r="G29" i="12"/>
  <c r="F36" i="12"/>
  <c r="E43" i="12"/>
  <c r="D50" i="12"/>
  <c r="C57" i="12"/>
  <c r="G61" i="12"/>
  <c r="F68" i="12"/>
  <c r="E75" i="12"/>
  <c r="C30" i="12"/>
  <c r="F49" i="12"/>
  <c r="C24" i="12"/>
  <c r="G28" i="12"/>
  <c r="F35" i="12"/>
  <c r="E42" i="12"/>
  <c r="D49" i="12"/>
  <c r="C56" i="12"/>
  <c r="G60" i="12"/>
  <c r="F67" i="12"/>
  <c r="E74" i="12"/>
  <c r="F25" i="12"/>
  <c r="E48" i="12"/>
  <c r="C23" i="12"/>
  <c r="G27" i="12"/>
  <c r="F34" i="12"/>
  <c r="E41" i="12"/>
  <c r="D48" i="12"/>
  <c r="C55" i="12"/>
  <c r="G59" i="12"/>
  <c r="F66" i="12"/>
  <c r="E73" i="12"/>
  <c r="D31" i="12"/>
  <c r="D47" i="12"/>
  <c r="F65" i="12"/>
  <c r="C21" i="12"/>
  <c r="G25" i="12"/>
  <c r="F32" i="12"/>
  <c r="E39" i="12"/>
  <c r="D46" i="12"/>
  <c r="C53" i="12"/>
  <c r="G57" i="12"/>
  <c r="F64" i="12"/>
  <c r="E71" i="12"/>
  <c r="D61" i="12"/>
  <c r="C76" i="12"/>
  <c r="E22" i="12"/>
  <c r="D29" i="12"/>
  <c r="C36" i="12"/>
  <c r="G40" i="12"/>
  <c r="F47" i="12"/>
  <c r="E54" i="12"/>
  <c r="G64" i="12"/>
  <c r="E64" i="12"/>
  <c r="F22" i="12"/>
  <c r="E29" i="12"/>
  <c r="D36" i="12"/>
  <c r="C43" i="12"/>
  <c r="G47" i="12"/>
  <c r="F54" i="12"/>
  <c r="E61" i="12"/>
  <c r="D68" i="12"/>
  <c r="C75" i="12"/>
  <c r="E60" i="12"/>
  <c r="E76" i="12"/>
  <c r="G22" i="12"/>
  <c r="F29" i="12"/>
  <c r="E36" i="12"/>
  <c r="D43" i="12"/>
  <c r="C50" i="12"/>
  <c r="D59" i="12"/>
  <c r="F69" i="12"/>
  <c r="G74" i="12"/>
  <c r="D26" i="12"/>
  <c r="C33" i="12"/>
  <c r="G37" i="12"/>
  <c r="F44" i="12"/>
  <c r="E51" i="12"/>
  <c r="D58" i="12"/>
  <c r="C65" i="12"/>
  <c r="G69" i="12"/>
  <c r="F76" i="12"/>
  <c r="E32" i="12"/>
  <c r="G58" i="12"/>
  <c r="D25" i="12"/>
  <c r="C32" i="12"/>
  <c r="G36" i="12"/>
  <c r="F43" i="12"/>
  <c r="E50" i="12"/>
  <c r="D57" i="12"/>
  <c r="C64" i="12"/>
  <c r="E23" i="12"/>
  <c r="C37" i="12"/>
  <c r="F48" i="12"/>
  <c r="D62" i="12"/>
  <c r="G73" i="12"/>
  <c r="C20" i="12"/>
  <c r="F31" i="12"/>
  <c r="D45" i="12"/>
  <c r="C60" i="12"/>
  <c r="D20" i="12"/>
  <c r="G31" i="12"/>
  <c r="E45" i="12"/>
  <c r="C59" i="12"/>
  <c r="F70" i="12"/>
  <c r="D67" i="12"/>
  <c r="D27" i="12"/>
  <c r="G38" i="12"/>
  <c r="F53" i="12"/>
  <c r="D75" i="12"/>
  <c r="F28" i="12"/>
  <c r="D42" i="12"/>
  <c r="G53" i="12"/>
  <c r="E67" i="12"/>
  <c r="E24" i="12"/>
  <c r="G20" i="12"/>
  <c r="E34" i="12"/>
  <c r="C48" i="12"/>
  <c r="F59" i="12"/>
  <c r="C72" i="12"/>
  <c r="C22" i="12"/>
  <c r="C54" i="12"/>
  <c r="E25" i="12"/>
  <c r="E33" i="12"/>
  <c r="F42" i="12"/>
  <c r="F50" i="12"/>
  <c r="F58" i="12"/>
  <c r="G67" i="12"/>
  <c r="G75" i="12"/>
  <c r="G42" i="12"/>
  <c r="C70" i="12"/>
  <c r="D37" i="12"/>
  <c r="G23" i="12"/>
  <c r="E37" i="12"/>
  <c r="F62" i="12"/>
  <c r="D76" i="12"/>
  <c r="G30" i="12"/>
  <c r="E44" i="12"/>
  <c r="F20" i="12"/>
  <c r="G45" i="12"/>
  <c r="E59" i="12"/>
  <c r="C38" i="12"/>
  <c r="C40" i="12"/>
  <c r="F51" i="12"/>
  <c r="D65" i="12"/>
  <c r="F33" i="12"/>
  <c r="E56" i="12"/>
  <c r="G35" i="12"/>
  <c r="G51" i="12"/>
  <c r="C63" i="12"/>
  <c r="G26" i="12"/>
  <c r="G41" i="12"/>
  <c r="C69" i="12"/>
  <c r="G24" i="12"/>
  <c r="C52" i="12"/>
  <c r="F38" i="12"/>
  <c r="G63" i="12"/>
  <c r="E20" i="12"/>
  <c r="F45" i="12"/>
  <c r="G21" i="12"/>
  <c r="C49" i="12"/>
  <c r="D74" i="12"/>
  <c r="F27" i="12"/>
  <c r="G52" i="12"/>
  <c r="E66" i="12"/>
  <c r="F41" i="12"/>
  <c r="C31" i="12"/>
  <c r="C39" i="12"/>
  <c r="D56" i="12"/>
  <c r="D64" i="12"/>
  <c r="D55" i="12"/>
  <c r="G33" i="12"/>
  <c r="C61" i="12"/>
  <c r="D71" i="12"/>
  <c r="C44" i="12"/>
  <c r="E72" i="12"/>
  <c r="G55" i="12"/>
  <c r="E69" i="12"/>
  <c r="C26" i="12"/>
  <c r="E52" i="12"/>
  <c r="E27" i="12"/>
  <c r="C41" i="12"/>
  <c r="D66" i="12"/>
  <c r="G66" i="12"/>
  <c r="G44" i="12"/>
  <c r="G68" i="12"/>
  <c r="C46" i="12"/>
  <c r="D32" i="12"/>
  <c r="E49" i="12"/>
  <c r="E65" i="12"/>
  <c r="F74" i="12"/>
  <c r="C29" i="12"/>
  <c r="F40" i="12"/>
  <c r="D54" i="12"/>
  <c r="G65" i="12"/>
  <c r="F63" i="12"/>
  <c r="F23" i="12"/>
  <c r="G48" i="12"/>
  <c r="C68" i="12"/>
  <c r="C51" i="12"/>
  <c r="F73" i="12"/>
  <c r="G62" i="12"/>
  <c r="D34" i="12"/>
  <c r="C73" i="12"/>
  <c r="E26" i="12"/>
  <c r="D73" i="12"/>
  <c r="F26" i="12"/>
  <c r="G43" i="12"/>
  <c r="C71" i="12"/>
  <c r="G50" i="12"/>
  <c r="D30" i="12"/>
  <c r="E55" i="12"/>
  <c r="D69" i="12"/>
  <c r="E38" i="12"/>
  <c r="E70" i="12"/>
  <c r="C27" i="12"/>
  <c r="D52" i="12"/>
  <c r="D51" i="12"/>
  <c r="C34" i="12"/>
  <c r="C66" i="12"/>
  <c r="E35" i="12"/>
  <c r="F60" i="12"/>
  <c r="E40" i="12"/>
  <c r="D41" i="12"/>
  <c r="F75" i="12"/>
  <c r="C62" i="12"/>
  <c r="C47" i="12"/>
  <c r="D72" i="12"/>
  <c r="G34" i="12"/>
  <c r="D22" i="12"/>
  <c r="E47" i="12"/>
  <c r="F72" i="12"/>
  <c r="E30" i="12"/>
  <c r="F55" i="12"/>
  <c r="F30" i="12"/>
  <c r="D44" i="12"/>
  <c r="F61" i="12"/>
  <c r="F37" i="12"/>
  <c r="C74" i="12"/>
  <c r="F52" i="12"/>
  <c r="D23" i="12"/>
  <c r="D33" i="12"/>
  <c r="E58" i="12"/>
  <c r="G76" i="12"/>
  <c r="D24" i="12"/>
  <c r="D40" i="12"/>
  <c r="E57" i="12"/>
  <c r="D39" i="12"/>
  <c r="F57" i="12"/>
  <c r="H70" i="12" l="1"/>
  <c r="H71" i="12"/>
  <c r="H63" i="12"/>
  <c r="H55" i="12"/>
  <c r="H47" i="12"/>
  <c r="H39" i="12"/>
  <c r="H31" i="12"/>
  <c r="H23" i="12"/>
  <c r="H62" i="12"/>
  <c r="H54" i="12"/>
  <c r="H46" i="12"/>
  <c r="H22" i="12"/>
  <c r="H72" i="12"/>
  <c r="H64" i="12"/>
  <c r="H56" i="12"/>
  <c r="H48" i="12"/>
  <c r="H40" i="12"/>
  <c r="H32" i="12"/>
  <c r="H24" i="12"/>
  <c r="H38" i="12"/>
  <c r="H30" i="12"/>
  <c r="H73" i="12"/>
  <c r="H65" i="12"/>
  <c r="H57" i="12"/>
  <c r="H49" i="12"/>
  <c r="H41" i="12"/>
  <c r="H33" i="12"/>
  <c r="H25" i="12"/>
  <c r="H74" i="12"/>
  <c r="H66" i="12"/>
  <c r="H50" i="12"/>
  <c r="H42" i="12"/>
  <c r="H34" i="12"/>
  <c r="H26" i="12"/>
  <c r="H58" i="12"/>
  <c r="H75" i="12"/>
  <c r="H67" i="12"/>
  <c r="H59" i="12"/>
  <c r="H51" i="12"/>
  <c r="H43" i="12"/>
  <c r="H35" i="12"/>
  <c r="H27" i="12"/>
  <c r="H68" i="12"/>
  <c r="H60" i="12"/>
  <c r="H52" i="12"/>
  <c r="H44" i="12"/>
  <c r="H36" i="12"/>
  <c r="H28" i="12"/>
  <c r="H20" i="12"/>
  <c r="H76" i="12"/>
  <c r="H69" i="12"/>
  <c r="H61" i="12"/>
  <c r="H53" i="12"/>
  <c r="H45" i="12"/>
  <c r="H37" i="12"/>
  <c r="H29" i="12"/>
  <c r="H21" i="12"/>
  <c r="Q21" i="35" l="1"/>
  <c r="AD14" i="35"/>
  <c r="R14" i="35"/>
  <c r="S14" i="35" s="1"/>
  <c r="Q14" i="35"/>
  <c r="K14" i="35"/>
  <c r="D14" i="35"/>
  <c r="U14" i="35" s="1"/>
  <c r="AD13" i="35"/>
  <c r="R13" i="35"/>
  <c r="S13" i="35" s="1"/>
  <c r="Q13" i="35"/>
  <c r="K13" i="35"/>
  <c r="F13" i="35"/>
  <c r="D13" i="35"/>
  <c r="U13" i="35" s="1"/>
  <c r="AD12" i="35"/>
  <c r="R12" i="35"/>
  <c r="S12" i="35" s="1"/>
  <c r="AC12" i="35" s="1"/>
  <c r="Q12" i="35"/>
  <c r="K12" i="35"/>
  <c r="D12" i="35"/>
  <c r="U12" i="35" s="1"/>
  <c r="AD11" i="35"/>
  <c r="S11" i="35"/>
  <c r="AB11" i="35" s="1"/>
  <c r="R11" i="35"/>
  <c r="Q11" i="35"/>
  <c r="K11" i="35"/>
  <c r="D11" i="35"/>
  <c r="AD10" i="35"/>
  <c r="R10" i="35"/>
  <c r="S10" i="35" s="1"/>
  <c r="AC10" i="35" s="1"/>
  <c r="Q10" i="35"/>
  <c r="K10" i="35"/>
  <c r="D10" i="35"/>
  <c r="R9" i="35"/>
  <c r="S9" i="35" s="1"/>
  <c r="Q9" i="35"/>
  <c r="K9" i="35"/>
  <c r="D9" i="35"/>
  <c r="AD8" i="35"/>
  <c r="R8" i="35"/>
  <c r="S8" i="35" s="1"/>
  <c r="Q8" i="35"/>
  <c r="K8" i="35"/>
  <c r="D8" i="35"/>
  <c r="AD7" i="35"/>
  <c r="Q7" i="35"/>
  <c r="K7" i="35"/>
  <c r="D7" i="35"/>
  <c r="AD6" i="35"/>
  <c r="Q6" i="35"/>
  <c r="K6" i="35"/>
  <c r="D6" i="35"/>
  <c r="D15" i="35" s="1"/>
  <c r="C1" i="35"/>
  <c r="Q21" i="34"/>
  <c r="AD14" i="34"/>
  <c r="R14" i="34"/>
  <c r="S14" i="34" s="1"/>
  <c r="Q14" i="34"/>
  <c r="K14" i="34"/>
  <c r="D14" i="34"/>
  <c r="U14" i="34" s="1"/>
  <c r="AD13" i="34"/>
  <c r="R13" i="34"/>
  <c r="S13" i="34" s="1"/>
  <c r="Q13" i="34"/>
  <c r="K13" i="34"/>
  <c r="F13" i="34"/>
  <c r="G13" i="34" s="1"/>
  <c r="D13" i="34"/>
  <c r="U13" i="34" s="1"/>
  <c r="AD12" i="34"/>
  <c r="R12" i="34"/>
  <c r="S12" i="34" s="1"/>
  <c r="AC12" i="34" s="1"/>
  <c r="Q12" i="34"/>
  <c r="K12" i="34"/>
  <c r="D12" i="34"/>
  <c r="U12" i="34" s="1"/>
  <c r="AD11" i="34"/>
  <c r="R11" i="34"/>
  <c r="S11" i="34" s="1"/>
  <c r="Q11" i="34"/>
  <c r="K11" i="34"/>
  <c r="D11" i="34"/>
  <c r="AD10" i="34"/>
  <c r="R10" i="34"/>
  <c r="S10" i="34" s="1"/>
  <c r="AE10" i="34" s="1"/>
  <c r="Q10" i="34"/>
  <c r="K10" i="34"/>
  <c r="D10" i="34"/>
  <c r="R9" i="34"/>
  <c r="S9" i="34" s="1"/>
  <c r="Q9" i="34"/>
  <c r="K9" i="34"/>
  <c r="D9" i="34"/>
  <c r="AD8" i="34"/>
  <c r="R8" i="34"/>
  <c r="S8" i="34" s="1"/>
  <c r="Q8" i="34"/>
  <c r="K8" i="34"/>
  <c r="D8" i="34"/>
  <c r="AD7" i="34"/>
  <c r="Q7" i="34"/>
  <c r="K7" i="34"/>
  <c r="D7" i="34"/>
  <c r="AD6" i="34"/>
  <c r="Q6" i="34"/>
  <c r="K6" i="34"/>
  <c r="D6" i="34"/>
  <c r="C1" i="34"/>
  <c r="Q21" i="33"/>
  <c r="AD14" i="33"/>
  <c r="R14" i="33"/>
  <c r="S14" i="33" s="1"/>
  <c r="Q14" i="33"/>
  <c r="K14" i="33"/>
  <c r="D14" i="33"/>
  <c r="U14" i="33" s="1"/>
  <c r="AD13" i="33"/>
  <c r="R13" i="33"/>
  <c r="S13" i="33" s="1"/>
  <c r="Q13" i="33"/>
  <c r="K13" i="33"/>
  <c r="D13" i="33"/>
  <c r="U13" i="33" s="1"/>
  <c r="AD12" i="33"/>
  <c r="R12" i="33"/>
  <c r="S12" i="33" s="1"/>
  <c r="AE12" i="33" s="1"/>
  <c r="Q12" i="33"/>
  <c r="K12" i="33"/>
  <c r="D12" i="33"/>
  <c r="U12" i="33" s="1"/>
  <c r="AD11" i="33"/>
  <c r="R11" i="33"/>
  <c r="S11" i="33" s="1"/>
  <c r="Q11" i="33"/>
  <c r="K11" i="33"/>
  <c r="D11" i="33"/>
  <c r="AD10" i="33"/>
  <c r="R10" i="33"/>
  <c r="S10" i="33" s="1"/>
  <c r="AE10" i="33" s="1"/>
  <c r="Q10" i="33"/>
  <c r="K10" i="33"/>
  <c r="D10" i="33"/>
  <c r="R9" i="33"/>
  <c r="S9" i="33" s="1"/>
  <c r="Q9" i="33"/>
  <c r="K9" i="33"/>
  <c r="D9" i="33"/>
  <c r="AD8" i="33"/>
  <c r="R8" i="33"/>
  <c r="S8" i="33" s="1"/>
  <c r="Q8" i="33"/>
  <c r="K8" i="33"/>
  <c r="D8" i="33"/>
  <c r="AD7" i="33"/>
  <c r="Q7" i="33"/>
  <c r="K7" i="33"/>
  <c r="D7" i="33"/>
  <c r="AD6" i="33"/>
  <c r="Q6" i="33"/>
  <c r="K6" i="33"/>
  <c r="D6" i="33"/>
  <c r="C1" i="33"/>
  <c r="Q21" i="32"/>
  <c r="AD14" i="32"/>
  <c r="R14" i="32"/>
  <c r="S14" i="32" s="1"/>
  <c r="Q14" i="32"/>
  <c r="K14" i="32"/>
  <c r="D14" i="32"/>
  <c r="U14" i="32" s="1"/>
  <c r="AD13" i="32"/>
  <c r="R13" i="32"/>
  <c r="S13" i="32" s="1"/>
  <c r="Q13" i="32"/>
  <c r="K13" i="32"/>
  <c r="D13" i="32"/>
  <c r="U13" i="32" s="1"/>
  <c r="AD12" i="32"/>
  <c r="R12" i="32"/>
  <c r="S12" i="32" s="1"/>
  <c r="AC12" i="32" s="1"/>
  <c r="Q12" i="32"/>
  <c r="K12" i="32"/>
  <c r="D12" i="32"/>
  <c r="U12" i="32" s="1"/>
  <c r="AD11" i="32"/>
  <c r="R11" i="32"/>
  <c r="S11" i="32" s="1"/>
  <c r="Q11" i="32"/>
  <c r="K11" i="32"/>
  <c r="D11" i="32"/>
  <c r="AD10" i="32"/>
  <c r="R10" i="32"/>
  <c r="S10" i="32" s="1"/>
  <c r="AC10" i="32" s="1"/>
  <c r="Q10" i="32"/>
  <c r="K10" i="32"/>
  <c r="D10" i="32"/>
  <c r="R9" i="32"/>
  <c r="S9" i="32" s="1"/>
  <c r="Q9" i="32"/>
  <c r="K9" i="32"/>
  <c r="D9" i="32"/>
  <c r="AD8" i="32"/>
  <c r="R8" i="32"/>
  <c r="S8" i="32" s="1"/>
  <c r="Q8" i="32"/>
  <c r="K8" i="32"/>
  <c r="D8" i="32"/>
  <c r="AD7" i="32"/>
  <c r="Q7" i="32"/>
  <c r="K7" i="32"/>
  <c r="D7" i="32"/>
  <c r="AD6" i="32"/>
  <c r="Q6" i="32"/>
  <c r="K6" i="32"/>
  <c r="D6" i="32"/>
  <c r="C1" i="32"/>
  <c r="Q21" i="31"/>
  <c r="AD14" i="31"/>
  <c r="R14" i="31"/>
  <c r="S14" i="31" s="1"/>
  <c r="Q14" i="31"/>
  <c r="K14" i="31"/>
  <c r="D14" i="31"/>
  <c r="U14" i="31" s="1"/>
  <c r="AD13" i="31"/>
  <c r="R13" i="31"/>
  <c r="S13" i="31" s="1"/>
  <c r="Q13" i="31"/>
  <c r="K13" i="31"/>
  <c r="D13" i="31"/>
  <c r="U13" i="31" s="1"/>
  <c r="AD12" i="31"/>
  <c r="R12" i="31"/>
  <c r="S12" i="31" s="1"/>
  <c r="AC12" i="31" s="1"/>
  <c r="Q12" i="31"/>
  <c r="K12" i="31"/>
  <c r="D12" i="31"/>
  <c r="U12" i="31" s="1"/>
  <c r="AD11" i="31"/>
  <c r="R11" i="31"/>
  <c r="S11" i="31" s="1"/>
  <c r="Q11" i="31"/>
  <c r="K11" i="31"/>
  <c r="D11" i="31"/>
  <c r="AD10" i="31"/>
  <c r="R10" i="31"/>
  <c r="S10" i="31" s="1"/>
  <c r="AE10" i="31" s="1"/>
  <c r="Q10" i="31"/>
  <c r="K10" i="31"/>
  <c r="D10" i="31"/>
  <c r="R9" i="31"/>
  <c r="S9" i="31" s="1"/>
  <c r="Q9" i="31"/>
  <c r="K9" i="31"/>
  <c r="D9" i="31"/>
  <c r="AD8" i="31"/>
  <c r="R8" i="31"/>
  <c r="S8" i="31" s="1"/>
  <c r="Q8" i="31"/>
  <c r="K8" i="31"/>
  <c r="D8" i="31"/>
  <c r="AD7" i="31"/>
  <c r="Q7" i="31"/>
  <c r="K7" i="31"/>
  <c r="D7" i="31"/>
  <c r="AD6" i="31"/>
  <c r="Q6" i="31"/>
  <c r="K6" i="31"/>
  <c r="D6" i="31"/>
  <c r="C1" i="31"/>
  <c r="Q21" i="30"/>
  <c r="AD14" i="30"/>
  <c r="R14" i="30"/>
  <c r="S14" i="30" s="1"/>
  <c r="Q14" i="30"/>
  <c r="K14" i="30"/>
  <c r="D14" i="30"/>
  <c r="U14" i="30" s="1"/>
  <c r="AD13" i="30"/>
  <c r="R13" i="30"/>
  <c r="S13" i="30" s="1"/>
  <c r="Q13" i="30"/>
  <c r="K13" i="30"/>
  <c r="D13" i="30"/>
  <c r="U13" i="30" s="1"/>
  <c r="AD12" i="30"/>
  <c r="R12" i="30"/>
  <c r="S12" i="30" s="1"/>
  <c r="AC12" i="30" s="1"/>
  <c r="Q12" i="30"/>
  <c r="K12" i="30"/>
  <c r="D12" i="30"/>
  <c r="U12" i="30" s="1"/>
  <c r="AD11" i="30"/>
  <c r="R11" i="30"/>
  <c r="S11" i="30" s="1"/>
  <c r="AE11" i="30" s="1"/>
  <c r="Q11" i="30"/>
  <c r="K11" i="30"/>
  <c r="D11" i="30"/>
  <c r="AD10" i="30"/>
  <c r="R10" i="30"/>
  <c r="S10" i="30" s="1"/>
  <c r="AC10" i="30" s="1"/>
  <c r="Q10" i="30"/>
  <c r="K10" i="30"/>
  <c r="D10" i="30"/>
  <c r="R9" i="30"/>
  <c r="S9" i="30" s="1"/>
  <c r="Q9" i="30"/>
  <c r="K9" i="30"/>
  <c r="D9" i="30"/>
  <c r="AD8" i="30"/>
  <c r="R8" i="30"/>
  <c r="S8" i="30" s="1"/>
  <c r="Q8" i="30"/>
  <c r="K8" i="30"/>
  <c r="D8" i="30"/>
  <c r="AD7" i="30"/>
  <c r="Q7" i="30"/>
  <c r="K7" i="30"/>
  <c r="D7" i="30"/>
  <c r="AD6" i="30"/>
  <c r="Q6" i="30"/>
  <c r="K6" i="30"/>
  <c r="D6" i="30"/>
  <c r="C1" i="30"/>
  <c r="C3" i="31"/>
  <c r="C3" i="33"/>
  <c r="C3" i="35"/>
  <c r="C3" i="32"/>
  <c r="E26" i="31"/>
  <c r="C3" i="30"/>
  <c r="E26" i="33"/>
  <c r="E26" i="35"/>
  <c r="E26" i="32"/>
  <c r="E23" i="32"/>
  <c r="E23" i="34"/>
  <c r="C3" i="34"/>
  <c r="E23" i="31"/>
  <c r="E23" i="33"/>
  <c r="E23" i="30"/>
  <c r="E26" i="34"/>
  <c r="E26" i="30"/>
  <c r="E23" i="35"/>
  <c r="V18" i="33" l="1"/>
  <c r="V18" i="30"/>
  <c r="V18" i="31"/>
  <c r="V18" i="32"/>
  <c r="V18" i="34"/>
  <c r="V18" i="35"/>
  <c r="F13" i="32"/>
  <c r="M12" i="34"/>
  <c r="AE12" i="34"/>
  <c r="F14" i="34"/>
  <c r="F12" i="34"/>
  <c r="T11" i="35"/>
  <c r="AC11" i="35"/>
  <c r="AE10" i="35"/>
  <c r="AE12" i="35"/>
  <c r="AE11" i="35"/>
  <c r="K15" i="35"/>
  <c r="L13" i="35" s="1"/>
  <c r="F12" i="35"/>
  <c r="G12" i="35" s="1"/>
  <c r="M13" i="35"/>
  <c r="E29" i="35"/>
  <c r="F21" i="35"/>
  <c r="E3" i="35"/>
  <c r="D3" i="35"/>
  <c r="F9" i="35" s="1"/>
  <c r="AC8" i="35"/>
  <c r="AB8" i="35"/>
  <c r="T8" i="35"/>
  <c r="AE8" i="35"/>
  <c r="AC14" i="34"/>
  <c r="AE14" i="34"/>
  <c r="H18" i="35"/>
  <c r="AC13" i="35"/>
  <c r="AB13" i="35"/>
  <c r="T13" i="35"/>
  <c r="AE13" i="35"/>
  <c r="AC13" i="34"/>
  <c r="AE13" i="34"/>
  <c r="N18" i="35"/>
  <c r="L14" i="35"/>
  <c r="E6" i="35"/>
  <c r="E7" i="35"/>
  <c r="E13" i="35"/>
  <c r="E11" i="35"/>
  <c r="E10" i="35"/>
  <c r="E12" i="35"/>
  <c r="AE9" i="35"/>
  <c r="AC9" i="35"/>
  <c r="AB9" i="35"/>
  <c r="T9" i="35"/>
  <c r="H12" i="35"/>
  <c r="AC14" i="35"/>
  <c r="AB14" i="35"/>
  <c r="T14" i="35"/>
  <c r="AE14" i="35"/>
  <c r="N13" i="35"/>
  <c r="L9" i="35"/>
  <c r="L8" i="35"/>
  <c r="L7" i="35"/>
  <c r="N19" i="35"/>
  <c r="L10" i="35"/>
  <c r="M13" i="34"/>
  <c r="N13" i="34" s="1"/>
  <c r="H19" i="35"/>
  <c r="E8" i="35"/>
  <c r="E9" i="35"/>
  <c r="T10" i="35"/>
  <c r="T12" i="35"/>
  <c r="N18" i="34"/>
  <c r="D15" i="34"/>
  <c r="H19" i="34" s="1"/>
  <c r="L6" i="35"/>
  <c r="G13" i="35"/>
  <c r="H13" i="35" s="1"/>
  <c r="E14" i="35"/>
  <c r="K15" i="34"/>
  <c r="L10" i="34" s="1"/>
  <c r="AB10" i="35"/>
  <c r="AB12" i="35"/>
  <c r="F14" i="35"/>
  <c r="M14" i="35" s="1"/>
  <c r="K15" i="33"/>
  <c r="L13" i="33" s="1"/>
  <c r="F13" i="33"/>
  <c r="G13" i="33" s="1"/>
  <c r="H13" i="33" s="1"/>
  <c r="AE8" i="34"/>
  <c r="G12" i="34"/>
  <c r="H12" i="34" s="1"/>
  <c r="E29" i="34"/>
  <c r="F21" i="34"/>
  <c r="E3" i="34"/>
  <c r="D3" i="34"/>
  <c r="U9" i="34" s="1"/>
  <c r="AE9" i="34"/>
  <c r="AC9" i="34"/>
  <c r="AB9" i="34"/>
  <c r="T9" i="34"/>
  <c r="E11" i="34"/>
  <c r="E14" i="34"/>
  <c r="E10" i="34"/>
  <c r="L9" i="34"/>
  <c r="L7" i="34"/>
  <c r="T11" i="34"/>
  <c r="AE11" i="34"/>
  <c r="AC11" i="34"/>
  <c r="AB11" i="34"/>
  <c r="N12" i="34"/>
  <c r="AC8" i="34"/>
  <c r="AB8" i="34"/>
  <c r="T8" i="34"/>
  <c r="H13" i="34"/>
  <c r="F12" i="32"/>
  <c r="M12" i="32" s="1"/>
  <c r="N18" i="33"/>
  <c r="M12" i="33"/>
  <c r="E12" i="34"/>
  <c r="M14" i="34"/>
  <c r="F13" i="30"/>
  <c r="F12" i="31"/>
  <c r="G12" i="31" s="1"/>
  <c r="H12" i="31" s="1"/>
  <c r="E8" i="34"/>
  <c r="E9" i="34"/>
  <c r="T10" i="34"/>
  <c r="T12" i="34"/>
  <c r="E7" i="34"/>
  <c r="AB10" i="34"/>
  <c r="AB12" i="34"/>
  <c r="T13" i="34"/>
  <c r="T14" i="34"/>
  <c r="F14" i="31"/>
  <c r="G14" i="31" s="1"/>
  <c r="K15" i="32"/>
  <c r="L10" i="32" s="1"/>
  <c r="AC10" i="34"/>
  <c r="G14" i="34"/>
  <c r="AB13" i="34"/>
  <c r="AB14" i="34"/>
  <c r="M13" i="32"/>
  <c r="N13" i="32" s="1"/>
  <c r="F12" i="33"/>
  <c r="E29" i="33"/>
  <c r="F21" i="33"/>
  <c r="E3" i="33"/>
  <c r="D3" i="33"/>
  <c r="AC13" i="33"/>
  <c r="AB13" i="33"/>
  <c r="T13" i="33"/>
  <c r="AE13" i="33"/>
  <c r="AE9" i="33"/>
  <c r="AC9" i="33"/>
  <c r="AB9" i="33"/>
  <c r="T9" i="33"/>
  <c r="L14" i="33"/>
  <c r="L9" i="33"/>
  <c r="L8" i="33"/>
  <c r="N19" i="33"/>
  <c r="L7" i="33"/>
  <c r="AE11" i="33"/>
  <c r="AC11" i="33"/>
  <c r="AB11" i="33"/>
  <c r="T11" i="33"/>
  <c r="AE8" i="33"/>
  <c r="N12" i="33"/>
  <c r="AC14" i="33"/>
  <c r="AB14" i="33"/>
  <c r="T14" i="33"/>
  <c r="AE14" i="33"/>
  <c r="AE11" i="32"/>
  <c r="T11" i="32"/>
  <c r="AC8" i="33"/>
  <c r="AB8" i="33"/>
  <c r="T8" i="33"/>
  <c r="F13" i="31"/>
  <c r="M13" i="31" s="1"/>
  <c r="N13" i="31" s="1"/>
  <c r="T10" i="33"/>
  <c r="G12" i="33"/>
  <c r="H12" i="33" s="1"/>
  <c r="T12" i="33"/>
  <c r="D15" i="33"/>
  <c r="H18" i="33" s="1"/>
  <c r="G13" i="31"/>
  <c r="H13" i="31" s="1"/>
  <c r="L6" i="33"/>
  <c r="AE12" i="32"/>
  <c r="AB10" i="33"/>
  <c r="AB12" i="33"/>
  <c r="F14" i="33"/>
  <c r="M14" i="33" s="1"/>
  <c r="M12" i="31"/>
  <c r="N12" i="31" s="1"/>
  <c r="L10" i="33"/>
  <c r="AC10" i="33"/>
  <c r="AC12" i="33"/>
  <c r="G14" i="33"/>
  <c r="AE10" i="32"/>
  <c r="E29" i="32"/>
  <c r="F21" i="32"/>
  <c r="E3" i="32"/>
  <c r="D3" i="32"/>
  <c r="F9" i="32" s="1"/>
  <c r="AC13" i="32"/>
  <c r="AE13" i="32"/>
  <c r="AB13" i="32"/>
  <c r="T13" i="32"/>
  <c r="AC8" i="32"/>
  <c r="AB8" i="32"/>
  <c r="T8" i="32"/>
  <c r="AE8" i="32"/>
  <c r="AC14" i="31"/>
  <c r="AE14" i="31"/>
  <c r="L14" i="32"/>
  <c r="AC13" i="31"/>
  <c r="AE13" i="31"/>
  <c r="AC14" i="32"/>
  <c r="AB14" i="32"/>
  <c r="AE14" i="32"/>
  <c r="T14" i="32"/>
  <c r="L13" i="32"/>
  <c r="L8" i="32"/>
  <c r="L7" i="32"/>
  <c r="N19" i="32"/>
  <c r="N18" i="32"/>
  <c r="N12" i="32"/>
  <c r="AE9" i="32"/>
  <c r="AC9" i="32"/>
  <c r="AB9" i="32"/>
  <c r="T9" i="32"/>
  <c r="T12" i="32"/>
  <c r="K15" i="31"/>
  <c r="L13" i="31" s="1"/>
  <c r="L6" i="32"/>
  <c r="AB11" i="32"/>
  <c r="G13" i="32"/>
  <c r="H13" i="32" s="1"/>
  <c r="T10" i="32"/>
  <c r="G12" i="32"/>
  <c r="H12" i="32" s="1"/>
  <c r="D15" i="32"/>
  <c r="H19" i="32" s="1"/>
  <c r="AB10" i="32"/>
  <c r="AC11" i="32"/>
  <c r="AB12" i="32"/>
  <c r="F14" i="32"/>
  <c r="M14" i="32" s="1"/>
  <c r="D15" i="31"/>
  <c r="E6" i="31" s="1"/>
  <c r="K15" i="30"/>
  <c r="L13" i="30" s="1"/>
  <c r="AE12" i="31"/>
  <c r="E29" i="31"/>
  <c r="E3" i="31"/>
  <c r="F21" i="31"/>
  <c r="D3" i="31"/>
  <c r="F8" i="31" s="1"/>
  <c r="AC9" i="31"/>
  <c r="AB9" i="31"/>
  <c r="T9" i="31"/>
  <c r="AE9" i="31"/>
  <c r="AE11" i="31"/>
  <c r="T11" i="31"/>
  <c r="AC11" i="31"/>
  <c r="AB11" i="31"/>
  <c r="AC8" i="31"/>
  <c r="AB8" i="31"/>
  <c r="T8" i="31"/>
  <c r="AE8" i="31"/>
  <c r="M13" i="30"/>
  <c r="N13" i="30" s="1"/>
  <c r="M14" i="31"/>
  <c r="T10" i="31"/>
  <c r="T12" i="31"/>
  <c r="T11" i="30"/>
  <c r="AB12" i="31"/>
  <c r="T13" i="31"/>
  <c r="T14" i="31"/>
  <c r="AE12" i="30"/>
  <c r="AB10" i="31"/>
  <c r="AC10" i="31"/>
  <c r="AB13" i="31"/>
  <c r="AB14" i="31"/>
  <c r="AE10" i="30"/>
  <c r="F12" i="30"/>
  <c r="M12" i="30" s="1"/>
  <c r="N12" i="30" s="1"/>
  <c r="E29" i="30"/>
  <c r="F21" i="30"/>
  <c r="E3" i="30"/>
  <c r="D3" i="30"/>
  <c r="U10" i="30" s="1"/>
  <c r="AC13" i="30"/>
  <c r="AB13" i="30"/>
  <c r="T13" i="30"/>
  <c r="AE13" i="30"/>
  <c r="AC8" i="30"/>
  <c r="AB8" i="30"/>
  <c r="T8" i="30"/>
  <c r="AE8" i="30"/>
  <c r="AC14" i="30"/>
  <c r="AB14" i="30"/>
  <c r="T14" i="30"/>
  <c r="AE14" i="30"/>
  <c r="AE9" i="30"/>
  <c r="AC9" i="30"/>
  <c r="AB9" i="30"/>
  <c r="T9" i="30"/>
  <c r="T10" i="30"/>
  <c r="G12" i="30"/>
  <c r="H12" i="30" s="1"/>
  <c r="T12" i="30"/>
  <c r="D15" i="30"/>
  <c r="H18" i="30" s="1"/>
  <c r="AB11" i="30"/>
  <c r="G13" i="30"/>
  <c r="H13" i="30" s="1"/>
  <c r="AB10" i="30"/>
  <c r="AC11" i="30"/>
  <c r="AB12" i="30"/>
  <c r="F14" i="30"/>
  <c r="M14" i="30" s="1"/>
  <c r="Q21" i="8"/>
  <c r="E23" i="8"/>
  <c r="P20" i="12"/>
  <c r="P23" i="12"/>
  <c r="P66" i="12"/>
  <c r="P71" i="12"/>
  <c r="P21" i="12"/>
  <c r="P29" i="12"/>
  <c r="P27" i="12"/>
  <c r="P38" i="12"/>
  <c r="P42" i="12"/>
  <c r="E26" i="8"/>
  <c r="P25" i="12"/>
  <c r="P75" i="12"/>
  <c r="P60" i="12"/>
  <c r="P41" i="12"/>
  <c r="P35" i="12"/>
  <c r="P22" i="12"/>
  <c r="P19" i="12"/>
  <c r="P26" i="12"/>
  <c r="P62" i="12"/>
  <c r="P63" i="12"/>
  <c r="P72" i="12"/>
  <c r="P46" i="12"/>
  <c r="P37" i="12"/>
  <c r="P69" i="12"/>
  <c r="P64" i="12"/>
  <c r="P30" i="12"/>
  <c r="P67" i="12"/>
  <c r="P39" i="12"/>
  <c r="P58" i="12"/>
  <c r="P43" i="12"/>
  <c r="P55" i="12"/>
  <c r="P57" i="12"/>
  <c r="P45" i="12"/>
  <c r="P50" i="12"/>
  <c r="P59" i="12"/>
  <c r="P48" i="12"/>
  <c r="P52" i="12"/>
  <c r="P47" i="12"/>
  <c r="P70" i="12"/>
  <c r="P24" i="12"/>
  <c r="P51" i="12"/>
  <c r="P61" i="12"/>
  <c r="P68" i="12"/>
  <c r="P31" i="12"/>
  <c r="P36" i="12"/>
  <c r="P40" i="12"/>
  <c r="P65" i="12"/>
  <c r="P76" i="12"/>
  <c r="P44" i="12"/>
  <c r="P34" i="12"/>
  <c r="P54" i="12"/>
  <c r="P33" i="12"/>
  <c r="P32" i="12"/>
  <c r="P73" i="12"/>
  <c r="P74" i="12"/>
  <c r="P53" i="12"/>
  <c r="P28" i="12"/>
  <c r="P49" i="12"/>
  <c r="P56" i="12"/>
  <c r="S19" i="30" l="1"/>
  <c r="S20" i="30"/>
  <c r="M13" i="33"/>
  <c r="N13" i="33" s="1"/>
  <c r="L10" i="30"/>
  <c r="L8" i="30"/>
  <c r="L14" i="30"/>
  <c r="L9" i="30"/>
  <c r="L7" i="30"/>
  <c r="E12" i="31"/>
  <c r="L9" i="32"/>
  <c r="H18" i="34"/>
  <c r="E13" i="34"/>
  <c r="E6" i="34"/>
  <c r="G14" i="35"/>
  <c r="M12" i="35"/>
  <c r="N12" i="35" s="1"/>
  <c r="M9" i="35"/>
  <c r="G9" i="35"/>
  <c r="E9" i="31"/>
  <c r="E14" i="31"/>
  <c r="E6" i="32"/>
  <c r="H19" i="31"/>
  <c r="L8" i="34"/>
  <c r="U10" i="35"/>
  <c r="L13" i="34"/>
  <c r="U11" i="35"/>
  <c r="F11" i="35"/>
  <c r="F10" i="35"/>
  <c r="E10" i="31"/>
  <c r="N19" i="34"/>
  <c r="U9" i="35"/>
  <c r="F8" i="35"/>
  <c r="L14" i="34"/>
  <c r="E11" i="31"/>
  <c r="E7" i="31"/>
  <c r="E13" i="31"/>
  <c r="L10" i="31"/>
  <c r="H18" i="31"/>
  <c r="E8" i="31"/>
  <c r="L6" i="34"/>
  <c r="U8" i="35"/>
  <c r="F8" i="34"/>
  <c r="H19" i="30"/>
  <c r="N19" i="30"/>
  <c r="N18" i="30"/>
  <c r="E14" i="33"/>
  <c r="E9" i="33"/>
  <c r="U10" i="34"/>
  <c r="U11" i="34"/>
  <c r="F11" i="34"/>
  <c r="F10" i="34"/>
  <c r="L6" i="30"/>
  <c r="E14" i="32"/>
  <c r="U8" i="34"/>
  <c r="H19" i="33"/>
  <c r="E6" i="33"/>
  <c r="F9" i="34"/>
  <c r="E7" i="33"/>
  <c r="E11" i="33"/>
  <c r="E10" i="33"/>
  <c r="E13" i="33"/>
  <c r="E12" i="33"/>
  <c r="F9" i="33"/>
  <c r="U11" i="33"/>
  <c r="F11" i="33"/>
  <c r="F10" i="33"/>
  <c r="G14" i="32"/>
  <c r="U9" i="33"/>
  <c r="F8" i="33"/>
  <c r="U8" i="33"/>
  <c r="E8" i="30"/>
  <c r="E8" i="33"/>
  <c r="E9" i="32"/>
  <c r="U10" i="33"/>
  <c r="M9" i="32"/>
  <c r="G9" i="32"/>
  <c r="U9" i="32"/>
  <c r="N19" i="31"/>
  <c r="L6" i="31"/>
  <c r="E8" i="32"/>
  <c r="U8" i="32"/>
  <c r="L7" i="31"/>
  <c r="U10" i="32"/>
  <c r="L14" i="31"/>
  <c r="L8" i="31"/>
  <c r="G14" i="30"/>
  <c r="N18" i="31"/>
  <c r="L9" i="31"/>
  <c r="E10" i="32"/>
  <c r="E7" i="32"/>
  <c r="E11" i="32"/>
  <c r="E12" i="32"/>
  <c r="E13" i="32"/>
  <c r="F11" i="32"/>
  <c r="U11" i="32"/>
  <c r="F10" i="32"/>
  <c r="F8" i="32"/>
  <c r="H18" i="32"/>
  <c r="U8" i="31"/>
  <c r="F9" i="31"/>
  <c r="M9" i="31" s="1"/>
  <c r="M8" i="31"/>
  <c r="G8" i="31"/>
  <c r="U10" i="31"/>
  <c r="U11" i="31"/>
  <c r="F11" i="31"/>
  <c r="F10" i="31"/>
  <c r="U9" i="31"/>
  <c r="U8" i="30"/>
  <c r="F11" i="30"/>
  <c r="M11" i="30" s="1"/>
  <c r="F8" i="30"/>
  <c r="M8" i="30" s="1"/>
  <c r="F10" i="30"/>
  <c r="M10" i="30" s="1"/>
  <c r="E13" i="30"/>
  <c r="E7" i="30"/>
  <c r="E11" i="30"/>
  <c r="E10" i="30"/>
  <c r="E12" i="30"/>
  <c r="U9" i="30"/>
  <c r="F9" i="30"/>
  <c r="U11" i="30"/>
  <c r="E6" i="30"/>
  <c r="E14" i="30"/>
  <c r="E9" i="30"/>
  <c r="O23" i="12"/>
  <c r="O29" i="12"/>
  <c r="O30" i="12"/>
  <c r="O31" i="12"/>
  <c r="O32" i="12"/>
  <c r="O33" i="12"/>
  <c r="O34" i="12"/>
  <c r="O35" i="12"/>
  <c r="O36" i="12"/>
  <c r="O37" i="12"/>
  <c r="O38" i="12"/>
  <c r="O39" i="12"/>
  <c r="O40" i="12"/>
  <c r="O41" i="12"/>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24" i="12"/>
  <c r="O25" i="12"/>
  <c r="O26" i="12"/>
  <c r="O27" i="12"/>
  <c r="O28" i="12"/>
  <c r="C19" i="12"/>
  <c r="L19" i="12"/>
  <c r="D19" i="12"/>
  <c r="S20" i="33" l="1"/>
  <c r="S19" i="33"/>
  <c r="R19" i="33"/>
  <c r="R19" i="30"/>
  <c r="W20" i="30"/>
  <c r="V20" i="30"/>
  <c r="R19" i="31"/>
  <c r="S19" i="31"/>
  <c r="S20" i="31"/>
  <c r="S20" i="32"/>
  <c r="S19" i="32"/>
  <c r="R19" i="32"/>
  <c r="S20" i="34"/>
  <c r="S19" i="34"/>
  <c r="R19" i="34"/>
  <c r="R19" i="35"/>
  <c r="S20" i="35"/>
  <c r="S19" i="35"/>
  <c r="N19" i="12"/>
  <c r="H19" i="12" s="1"/>
  <c r="M10" i="35"/>
  <c r="G10" i="35"/>
  <c r="M11" i="35"/>
  <c r="G11" i="35"/>
  <c r="M8" i="35"/>
  <c r="G8" i="35"/>
  <c r="G11" i="34"/>
  <c r="M11" i="34"/>
  <c r="M10" i="34"/>
  <c r="G10" i="34"/>
  <c r="M9" i="34"/>
  <c r="G9" i="34"/>
  <c r="M8" i="34"/>
  <c r="G8" i="34"/>
  <c r="M9" i="33"/>
  <c r="G9" i="33"/>
  <c r="G10" i="33"/>
  <c r="M10" i="33"/>
  <c r="M11" i="33"/>
  <c r="G11" i="33"/>
  <c r="M8" i="33"/>
  <c r="G8" i="33"/>
  <c r="M8" i="32"/>
  <c r="G8" i="32"/>
  <c r="G9" i="31"/>
  <c r="M10" i="32"/>
  <c r="G10" i="32"/>
  <c r="M11" i="32"/>
  <c r="G11" i="32"/>
  <c r="G10" i="30"/>
  <c r="G11" i="31"/>
  <c r="M11" i="31"/>
  <c r="M10" i="31"/>
  <c r="G10" i="31"/>
  <c r="G8" i="30"/>
  <c r="G11" i="30"/>
  <c r="M9" i="30"/>
  <c r="G9" i="30"/>
  <c r="M19" i="12"/>
  <c r="AD14" i="8"/>
  <c r="AD13" i="8"/>
  <c r="AD12" i="8"/>
  <c r="AD11" i="8"/>
  <c r="AD10" i="8"/>
  <c r="AD8" i="8"/>
  <c r="AD7" i="8"/>
  <c r="AD6" i="8"/>
  <c r="B14" i="12"/>
  <c r="B15" i="12"/>
  <c r="B16" i="12"/>
  <c r="B17" i="12"/>
  <c r="B18" i="12"/>
  <c r="B19" i="12"/>
  <c r="B13" i="12"/>
  <c r="Q7" i="8"/>
  <c r="Q8" i="8"/>
  <c r="Q9" i="8"/>
  <c r="Q10" i="8"/>
  <c r="Q11" i="8"/>
  <c r="Q12" i="8"/>
  <c r="Q13" i="8"/>
  <c r="Q14" i="8"/>
  <c r="Q6" i="8"/>
  <c r="P18" i="12"/>
  <c r="P17" i="12"/>
  <c r="L17" i="12"/>
  <c r="P15" i="12"/>
  <c r="P16" i="12"/>
  <c r="P14" i="12"/>
  <c r="V19" i="33" l="1"/>
  <c r="U19" i="33"/>
  <c r="V20" i="33"/>
  <c r="W20" i="33"/>
  <c r="U19" i="30"/>
  <c r="V19" i="30"/>
  <c r="W20" i="31"/>
  <c r="V20" i="31"/>
  <c r="V19" i="31"/>
  <c r="U19" i="31"/>
  <c r="W20" i="32"/>
  <c r="V20" i="32"/>
  <c r="V19" i="32"/>
  <c r="U19" i="32"/>
  <c r="W20" i="34"/>
  <c r="V20" i="34"/>
  <c r="U19" i="34"/>
  <c r="V19" i="34"/>
  <c r="W20" i="35"/>
  <c r="V20" i="35"/>
  <c r="V19" i="35"/>
  <c r="U19" i="35"/>
  <c r="O19" i="12"/>
  <c r="M22" i="12"/>
  <c r="O22" i="12" s="1"/>
  <c r="M21" i="12"/>
  <c r="O21" i="12" s="1"/>
  <c r="CB10" i="28"/>
  <c r="CC10" i="28"/>
  <c r="CD10" i="28"/>
  <c r="CE10" i="28"/>
  <c r="CF10" i="28"/>
  <c r="CG10" i="28"/>
  <c r="CH10" i="28"/>
  <c r="CB11" i="28"/>
  <c r="CC11" i="28"/>
  <c r="CD11" i="28"/>
  <c r="CE11" i="28"/>
  <c r="CF11" i="28"/>
  <c r="CG11" i="28"/>
  <c r="CH11" i="28"/>
  <c r="CB12" i="28"/>
  <c r="CC12" i="28"/>
  <c r="CD12" i="28"/>
  <c r="CE12" i="28"/>
  <c r="CF12" i="28"/>
  <c r="CG12" i="28"/>
  <c r="CH12" i="28"/>
  <c r="BZ13" i="28"/>
  <c r="CA13" i="28"/>
  <c r="CB13" i="28"/>
  <c r="CC13" i="28"/>
  <c r="CD13" i="28"/>
  <c r="CE13" i="28"/>
  <c r="CF13" i="28"/>
  <c r="CG13" i="28"/>
  <c r="CH13" i="28"/>
  <c r="BZ14" i="28"/>
  <c r="CA14" i="28"/>
  <c r="CB14" i="28"/>
  <c r="CC14" i="28"/>
  <c r="CD14" i="28"/>
  <c r="CE14" i="28"/>
  <c r="CF14" i="28"/>
  <c r="CG14" i="28"/>
  <c r="CH14" i="28"/>
  <c r="BZ15" i="28"/>
  <c r="CA15" i="28"/>
  <c r="CB15" i="28"/>
  <c r="CC15" i="28"/>
  <c r="CD15" i="28"/>
  <c r="CE15" i="28"/>
  <c r="CF15" i="28"/>
  <c r="CG15" i="28"/>
  <c r="CH15" i="28"/>
  <c r="BZ16" i="28"/>
  <c r="CA16" i="28"/>
  <c r="CB16" i="28"/>
  <c r="CC16" i="28"/>
  <c r="CD16" i="28"/>
  <c r="CE16" i="28"/>
  <c r="CF16" i="28"/>
  <c r="CG16" i="28"/>
  <c r="CH16" i="28"/>
  <c r="BZ17" i="28"/>
  <c r="CA17" i="28"/>
  <c r="CB17" i="28"/>
  <c r="CC17" i="28"/>
  <c r="CD17" i="28"/>
  <c r="CE17" i="28"/>
  <c r="CF17" i="28"/>
  <c r="CG17" i="28"/>
  <c r="CH17" i="28"/>
  <c r="BZ18" i="28"/>
  <c r="CA18" i="28"/>
  <c r="CB18" i="28"/>
  <c r="CC18" i="28"/>
  <c r="CD18" i="28"/>
  <c r="CE18" i="28"/>
  <c r="CF18" i="28"/>
  <c r="CG18" i="28"/>
  <c r="CH18" i="28"/>
  <c r="BZ19" i="28"/>
  <c r="CA19" i="28"/>
  <c r="CB19" i="28"/>
  <c r="CC19" i="28"/>
  <c r="CD19" i="28"/>
  <c r="CE19" i="28"/>
  <c r="CF19" i="28"/>
  <c r="CG19" i="28"/>
  <c r="CH19" i="28"/>
  <c r="BZ20" i="28"/>
  <c r="CA20" i="28"/>
  <c r="CB20" i="28"/>
  <c r="CC20" i="28"/>
  <c r="CD20" i="28"/>
  <c r="CE20" i="28"/>
  <c r="CF20" i="28"/>
  <c r="CG20" i="28"/>
  <c r="CH20" i="28"/>
  <c r="BZ21" i="28"/>
  <c r="CA21" i="28"/>
  <c r="CB21" i="28"/>
  <c r="CC21" i="28"/>
  <c r="CD21" i="28"/>
  <c r="CE21" i="28"/>
  <c r="CF21" i="28"/>
  <c r="CG21" i="28"/>
  <c r="CH21" i="28"/>
  <c r="BZ22" i="28"/>
  <c r="CA22" i="28"/>
  <c r="CB22" i="28"/>
  <c r="CC22" i="28"/>
  <c r="CD22" i="28"/>
  <c r="CE22" i="28"/>
  <c r="CF22" i="28"/>
  <c r="CG22" i="28"/>
  <c r="CH22" i="28"/>
  <c r="BZ23" i="28"/>
  <c r="CA23" i="28"/>
  <c r="CB23" i="28"/>
  <c r="CC23" i="28"/>
  <c r="CD23" i="28"/>
  <c r="CE23" i="28"/>
  <c r="CF23" i="28"/>
  <c r="CG23" i="28"/>
  <c r="CH23" i="28"/>
  <c r="BZ24" i="28"/>
  <c r="CA24" i="28"/>
  <c r="CB24" i="28"/>
  <c r="CC24" i="28"/>
  <c r="CD24" i="28"/>
  <c r="CE24" i="28"/>
  <c r="CF24" i="28"/>
  <c r="CG24" i="28"/>
  <c r="CH24" i="28"/>
  <c r="BZ25" i="28"/>
  <c r="CA25" i="28"/>
  <c r="CB25" i="28"/>
  <c r="CC25" i="28"/>
  <c r="CD25" i="28"/>
  <c r="CE25" i="28"/>
  <c r="CF25" i="28"/>
  <c r="CG25" i="28"/>
  <c r="CH25" i="28"/>
  <c r="BZ26" i="28"/>
  <c r="CA26" i="28"/>
  <c r="CB26" i="28"/>
  <c r="CC26" i="28"/>
  <c r="CD26" i="28"/>
  <c r="CE26" i="28"/>
  <c r="CF26" i="28"/>
  <c r="CG26" i="28"/>
  <c r="CH26" i="28"/>
  <c r="BZ27" i="28"/>
  <c r="CA27" i="28"/>
  <c r="CB27" i="28"/>
  <c r="CC27" i="28"/>
  <c r="CD27" i="28"/>
  <c r="CE27" i="28"/>
  <c r="CF27" i="28"/>
  <c r="CG27" i="28"/>
  <c r="CH27" i="28"/>
  <c r="BZ28" i="28"/>
  <c r="CA28" i="28"/>
  <c r="CB28" i="28"/>
  <c r="CC28" i="28"/>
  <c r="CD28" i="28"/>
  <c r="CE28" i="28"/>
  <c r="CF28" i="28"/>
  <c r="CG28" i="28"/>
  <c r="CH28" i="28"/>
  <c r="BZ29" i="28"/>
  <c r="CA29" i="28"/>
  <c r="CB29" i="28"/>
  <c r="CC29" i="28"/>
  <c r="CD29" i="28"/>
  <c r="CE29" i="28"/>
  <c r="CF29" i="28"/>
  <c r="CG29" i="28"/>
  <c r="CH29" i="28"/>
  <c r="BZ30" i="28"/>
  <c r="CA30" i="28"/>
  <c r="CB30" i="28"/>
  <c r="CC30" i="28"/>
  <c r="CD30" i="28"/>
  <c r="CE30" i="28"/>
  <c r="CF30" i="28"/>
  <c r="CG30" i="28"/>
  <c r="CH30" i="28"/>
  <c r="BZ31" i="28"/>
  <c r="CA31" i="28"/>
  <c r="CB31" i="28"/>
  <c r="CC31" i="28"/>
  <c r="CD31" i="28"/>
  <c r="CE31" i="28"/>
  <c r="CF31" i="28"/>
  <c r="CG31" i="28"/>
  <c r="CH31" i="28"/>
  <c r="BZ32" i="28"/>
  <c r="CA32" i="28"/>
  <c r="CB32" i="28"/>
  <c r="CC32" i="28"/>
  <c r="CD32" i="28"/>
  <c r="CE32" i="28"/>
  <c r="CF32" i="28"/>
  <c r="CG32" i="28"/>
  <c r="CH32" i="28"/>
  <c r="BZ33" i="28"/>
  <c r="CA33" i="28"/>
  <c r="CB33" i="28"/>
  <c r="CC33" i="28"/>
  <c r="CD33" i="28"/>
  <c r="CE33" i="28"/>
  <c r="CF33" i="28"/>
  <c r="CG33" i="28"/>
  <c r="CH33" i="28"/>
  <c r="BZ34" i="28"/>
  <c r="CA34" i="28"/>
  <c r="CB34" i="28"/>
  <c r="CC34" i="28"/>
  <c r="CD34" i="28"/>
  <c r="CE34" i="28"/>
  <c r="CF34" i="28"/>
  <c r="CG34" i="28"/>
  <c r="CH34" i="28"/>
  <c r="BZ35" i="28"/>
  <c r="CA35" i="28"/>
  <c r="CB35" i="28"/>
  <c r="CC35" i="28"/>
  <c r="CD35" i="28"/>
  <c r="CE35" i="28"/>
  <c r="CF35" i="28"/>
  <c r="CG35" i="28"/>
  <c r="CH35" i="28"/>
  <c r="BZ36" i="28"/>
  <c r="CA36" i="28"/>
  <c r="CB36" i="28"/>
  <c r="CC36" i="28"/>
  <c r="CD36" i="28"/>
  <c r="CE36" i="28"/>
  <c r="CF36" i="28"/>
  <c r="CG36" i="28"/>
  <c r="CH36" i="28"/>
  <c r="BZ37" i="28"/>
  <c r="CA37" i="28"/>
  <c r="CB37" i="28"/>
  <c r="CC37" i="28"/>
  <c r="CD37" i="28"/>
  <c r="CE37" i="28"/>
  <c r="CF37" i="28"/>
  <c r="CG37" i="28"/>
  <c r="CH37" i="28"/>
  <c r="BZ38" i="28"/>
  <c r="CA38" i="28"/>
  <c r="CB38" i="28"/>
  <c r="CC38" i="28"/>
  <c r="CD38" i="28"/>
  <c r="CE38" i="28"/>
  <c r="CF38" i="28"/>
  <c r="CG38" i="28"/>
  <c r="CH38" i="28"/>
  <c r="BZ39" i="28"/>
  <c r="CA39" i="28"/>
  <c r="CB39" i="28"/>
  <c r="CC39" i="28"/>
  <c r="CD39" i="28"/>
  <c r="CE39" i="28"/>
  <c r="CF39" i="28"/>
  <c r="CG39" i="28"/>
  <c r="CH39" i="28"/>
  <c r="BZ40" i="28"/>
  <c r="CA40" i="28"/>
  <c r="CB40" i="28"/>
  <c r="CC40" i="28"/>
  <c r="CD40" i="28"/>
  <c r="CE40" i="28"/>
  <c r="CF40" i="28"/>
  <c r="CG40" i="28"/>
  <c r="CH40" i="28"/>
  <c r="BZ41" i="28"/>
  <c r="CA41" i="28"/>
  <c r="CB41" i="28"/>
  <c r="CC41" i="28"/>
  <c r="CD41" i="28"/>
  <c r="CE41" i="28"/>
  <c r="CF41" i="28"/>
  <c r="CG41" i="28"/>
  <c r="CH41" i="28"/>
  <c r="BZ42" i="28"/>
  <c r="CA42" i="28"/>
  <c r="CB42" i="28"/>
  <c r="CC42" i="28"/>
  <c r="CD42" i="28"/>
  <c r="CE42" i="28"/>
  <c r="CF42" i="28"/>
  <c r="CG42" i="28"/>
  <c r="CH42" i="28"/>
  <c r="BZ43" i="28"/>
  <c r="CA43" i="28"/>
  <c r="CB43" i="28"/>
  <c r="CC43" i="28"/>
  <c r="CD43" i="28"/>
  <c r="CE43" i="28"/>
  <c r="CF43" i="28"/>
  <c r="CG43" i="28"/>
  <c r="CH43" i="28"/>
  <c r="BZ44" i="28"/>
  <c r="CA44" i="28"/>
  <c r="CB44" i="28"/>
  <c r="CC44" i="28"/>
  <c r="CD44" i="28"/>
  <c r="CE44" i="28"/>
  <c r="CF44" i="28"/>
  <c r="CG44" i="28"/>
  <c r="CH44" i="28"/>
  <c r="BZ45" i="28"/>
  <c r="CA45" i="28"/>
  <c r="CB45" i="28"/>
  <c r="CC45" i="28"/>
  <c r="CD45" i="28"/>
  <c r="CE45" i="28"/>
  <c r="CF45" i="28"/>
  <c r="CG45" i="28"/>
  <c r="CH45" i="28"/>
  <c r="BZ46" i="28"/>
  <c r="CA46" i="28"/>
  <c r="CB46" i="28"/>
  <c r="CC46" i="28"/>
  <c r="CD46" i="28"/>
  <c r="CE46" i="28"/>
  <c r="CF46" i="28"/>
  <c r="CG46" i="28"/>
  <c r="CH46" i="28"/>
  <c r="BZ47" i="28"/>
  <c r="CA47" i="28"/>
  <c r="CB47" i="28"/>
  <c r="CC47" i="28"/>
  <c r="CD47" i="28"/>
  <c r="CE47" i="28"/>
  <c r="CF47" i="28"/>
  <c r="CG47" i="28"/>
  <c r="CH47" i="28"/>
  <c r="BZ48" i="28"/>
  <c r="CA48" i="28"/>
  <c r="CB48" i="28"/>
  <c r="CC48" i="28"/>
  <c r="CD48" i="28"/>
  <c r="CE48" i="28"/>
  <c r="CF48" i="28"/>
  <c r="CG48" i="28"/>
  <c r="CH48" i="28"/>
  <c r="BZ49" i="28"/>
  <c r="CA49" i="28"/>
  <c r="CB49" i="28"/>
  <c r="CC49" i="28"/>
  <c r="CD49" i="28"/>
  <c r="CE49" i="28"/>
  <c r="CF49" i="28"/>
  <c r="CG49" i="28"/>
  <c r="CH49" i="28"/>
  <c r="BZ50" i="28"/>
  <c r="CA50" i="28"/>
  <c r="CB50" i="28"/>
  <c r="CC50" i="28"/>
  <c r="CD50" i="28"/>
  <c r="CE50" i="28"/>
  <c r="CF50" i="28"/>
  <c r="CG50" i="28"/>
  <c r="CH50" i="28"/>
  <c r="BZ51" i="28"/>
  <c r="CA51" i="28"/>
  <c r="CB51" i="28"/>
  <c r="CC51" i="28"/>
  <c r="CD51" i="28"/>
  <c r="CE51" i="28"/>
  <c r="CF51" i="28"/>
  <c r="CG51" i="28"/>
  <c r="CH51" i="28"/>
  <c r="BZ52" i="28"/>
  <c r="CA52" i="28"/>
  <c r="CB52" i="28"/>
  <c r="CC52" i="28"/>
  <c r="CD52" i="28"/>
  <c r="CE52" i="28"/>
  <c r="CF52" i="28"/>
  <c r="CG52" i="28"/>
  <c r="CH52" i="28"/>
  <c r="BZ53" i="28"/>
  <c r="CA53" i="28"/>
  <c r="CB53" i="28"/>
  <c r="CC53" i="28"/>
  <c r="CD53" i="28"/>
  <c r="CE53" i="28"/>
  <c r="CF53" i="28"/>
  <c r="CG53" i="28"/>
  <c r="CH53" i="28"/>
  <c r="BZ54" i="28"/>
  <c r="CA54" i="28"/>
  <c r="CB54" i="28"/>
  <c r="CC54" i="28"/>
  <c r="CD54" i="28"/>
  <c r="CE54" i="28"/>
  <c r="CF54" i="28"/>
  <c r="CG54" i="28"/>
  <c r="CH54" i="28"/>
  <c r="BZ55" i="28"/>
  <c r="CA55" i="28"/>
  <c r="CB55" i="28"/>
  <c r="CC55" i="28"/>
  <c r="CD55" i="28"/>
  <c r="CE55" i="28"/>
  <c r="CF55" i="28"/>
  <c r="CG55" i="28"/>
  <c r="CH55" i="28"/>
  <c r="BZ56" i="28"/>
  <c r="CA56" i="28"/>
  <c r="CB56" i="28"/>
  <c r="CC56" i="28"/>
  <c r="CD56" i="28"/>
  <c r="CE56" i="28"/>
  <c r="CF56" i="28"/>
  <c r="CG56" i="28"/>
  <c r="CH56" i="28"/>
  <c r="BZ57" i="28"/>
  <c r="CA57" i="28"/>
  <c r="CB57" i="28"/>
  <c r="CC57" i="28"/>
  <c r="CD57" i="28"/>
  <c r="CE57" i="28"/>
  <c r="CF57" i="28"/>
  <c r="CG57" i="28"/>
  <c r="CH57" i="28"/>
  <c r="BZ58" i="28"/>
  <c r="CA58" i="28"/>
  <c r="CB58" i="28"/>
  <c r="CC58" i="28"/>
  <c r="CD58" i="28"/>
  <c r="CE58" i="28"/>
  <c r="CF58" i="28"/>
  <c r="CG58" i="28"/>
  <c r="CH58" i="28"/>
  <c r="BZ59" i="28"/>
  <c r="CA59" i="28"/>
  <c r="CB59" i="28"/>
  <c r="CC59" i="28"/>
  <c r="CD59" i="28"/>
  <c r="CE59" i="28"/>
  <c r="CF59" i="28"/>
  <c r="CG59" i="28"/>
  <c r="CH59" i="28"/>
  <c r="BZ60" i="28"/>
  <c r="CA60" i="28"/>
  <c r="CB60" i="28"/>
  <c r="CC60" i="28"/>
  <c r="CD60" i="28"/>
  <c r="CE60" i="28"/>
  <c r="CF60" i="28"/>
  <c r="CG60" i="28"/>
  <c r="CH60" i="28"/>
  <c r="BZ61" i="28"/>
  <c r="CA61" i="28"/>
  <c r="CB61" i="28"/>
  <c r="CC61" i="28"/>
  <c r="CD61" i="28"/>
  <c r="CE61" i="28"/>
  <c r="CF61" i="28"/>
  <c r="CG61" i="28"/>
  <c r="CH61" i="28"/>
  <c r="BZ62" i="28"/>
  <c r="CA62" i="28"/>
  <c r="CB62" i="28"/>
  <c r="CC62" i="28"/>
  <c r="CD62" i="28"/>
  <c r="CE62" i="28"/>
  <c r="CF62" i="28"/>
  <c r="CG62" i="28"/>
  <c r="CH62" i="28"/>
  <c r="BZ63" i="28"/>
  <c r="CA63" i="28"/>
  <c r="CB63" i="28"/>
  <c r="CC63" i="28"/>
  <c r="CD63" i="28"/>
  <c r="CE63" i="28"/>
  <c r="CF63" i="28"/>
  <c r="CG63" i="28"/>
  <c r="CH63" i="28"/>
  <c r="BZ64" i="28"/>
  <c r="CA64" i="28"/>
  <c r="CB64" i="28"/>
  <c r="CC64" i="28"/>
  <c r="CD64" i="28"/>
  <c r="CE64" i="28"/>
  <c r="CF64" i="28"/>
  <c r="CG64" i="28"/>
  <c r="CH64" i="28"/>
  <c r="BZ65" i="28"/>
  <c r="CA65" i="28"/>
  <c r="CB65" i="28"/>
  <c r="CC65" i="28"/>
  <c r="CD65" i="28"/>
  <c r="CE65" i="28"/>
  <c r="CF65" i="28"/>
  <c r="CG65" i="28"/>
  <c r="CH65" i="28"/>
  <c r="BZ66" i="28"/>
  <c r="CA66" i="28"/>
  <c r="CB66" i="28"/>
  <c r="CC66" i="28"/>
  <c r="CD66" i="28"/>
  <c r="CE66" i="28"/>
  <c r="CF66" i="28"/>
  <c r="CG66" i="28"/>
  <c r="CH66" i="28"/>
  <c r="BZ67" i="28"/>
  <c r="CA67" i="28"/>
  <c r="CB67" i="28"/>
  <c r="CC67" i="28"/>
  <c r="CD67" i="28"/>
  <c r="CE67" i="28"/>
  <c r="CF67" i="28"/>
  <c r="CG67" i="28"/>
  <c r="CH67" i="28"/>
  <c r="BZ68" i="28"/>
  <c r="CA68" i="28"/>
  <c r="CB68" i="28"/>
  <c r="CC68" i="28"/>
  <c r="CD68" i="28"/>
  <c r="CE68" i="28"/>
  <c r="CF68" i="28"/>
  <c r="CG68" i="28"/>
  <c r="CH68" i="28"/>
  <c r="BZ69" i="28"/>
  <c r="CA69" i="28"/>
  <c r="CB69" i="28"/>
  <c r="CC69" i="28"/>
  <c r="CD69" i="28"/>
  <c r="CE69" i="28"/>
  <c r="CF69" i="28"/>
  <c r="CG69" i="28"/>
  <c r="CH69" i="28"/>
  <c r="CF7" i="28"/>
  <c r="CG7" i="28"/>
  <c r="CH7" i="28"/>
  <c r="CF8" i="28"/>
  <c r="CG8" i="28"/>
  <c r="CH8" i="28"/>
  <c r="CF9" i="28"/>
  <c r="CG9" i="28"/>
  <c r="CH9" i="28"/>
  <c r="CH6" i="28"/>
  <c r="R14" i="8" s="1"/>
  <c r="S14" i="8" s="1"/>
  <c r="AB14" i="8" s="1"/>
  <c r="CG6" i="28"/>
  <c r="R13" i="8" s="1"/>
  <c r="S13" i="8" s="1"/>
  <c r="AE13" i="8" s="1"/>
  <c r="CF6" i="28"/>
  <c r="R12" i="8" s="1"/>
  <c r="S12" i="8" s="1"/>
  <c r="T12" i="8" s="1"/>
  <c r="CD7" i="28"/>
  <c r="CD8" i="28"/>
  <c r="CD9" i="28"/>
  <c r="CC7" i="28"/>
  <c r="CC8" i="28"/>
  <c r="CC9" i="28"/>
  <c r="CC6" i="28"/>
  <c r="R9" i="8" s="1"/>
  <c r="S9" i="8" s="1"/>
  <c r="T9" i="8" s="1"/>
  <c r="CD6" i="28"/>
  <c r="R10" i="8" s="1"/>
  <c r="S10" i="8" s="1"/>
  <c r="AE10" i="8" s="1"/>
  <c r="CE9" i="28"/>
  <c r="CE7" i="28"/>
  <c r="CE8" i="28"/>
  <c r="CE6" i="28"/>
  <c r="R11" i="8" s="1"/>
  <c r="S11" i="8" s="1"/>
  <c r="AE11" i="8" s="1"/>
  <c r="CB9" i="28"/>
  <c r="CB7" i="28"/>
  <c r="CB8" i="28"/>
  <c r="CB6" i="28"/>
  <c r="R8" i="8" s="1"/>
  <c r="S8" i="8" s="1"/>
  <c r="T8" i="8" s="1"/>
  <c r="BW70" i="28"/>
  <c r="M28" i="11"/>
  <c r="L28" i="11"/>
  <c r="K28" i="11"/>
  <c r="J28" i="11"/>
  <c r="I28" i="11"/>
  <c r="H28" i="11"/>
  <c r="G28" i="11"/>
  <c r="CA9" i="28" s="1"/>
  <c r="M27" i="11"/>
  <c r="L27" i="11"/>
  <c r="K27" i="11"/>
  <c r="J27" i="11"/>
  <c r="I27" i="11"/>
  <c r="H27" i="11"/>
  <c r="G27" i="11"/>
  <c r="K7" i="8"/>
  <c r="K6" i="8"/>
  <c r="K14" i="8"/>
  <c r="K13" i="8"/>
  <c r="K12" i="8"/>
  <c r="K11" i="8"/>
  <c r="K10" i="8"/>
  <c r="K9" i="8"/>
  <c r="K8" i="8"/>
  <c r="BW12" i="28"/>
  <c r="BW13" i="28"/>
  <c r="BW14" i="28"/>
  <c r="BW15" i="28"/>
  <c r="BW16" i="28"/>
  <c r="BW17" i="28"/>
  <c r="BW18" i="28"/>
  <c r="BW19" i="28"/>
  <c r="BW20" i="28"/>
  <c r="BW21" i="28"/>
  <c r="BW22" i="28"/>
  <c r="BW23" i="28"/>
  <c r="BW24" i="28"/>
  <c r="BW25" i="28"/>
  <c r="BW26" i="28"/>
  <c r="BW27" i="28"/>
  <c r="BW28" i="28"/>
  <c r="BW29" i="28"/>
  <c r="BW30" i="28"/>
  <c r="BW31" i="28"/>
  <c r="BW32" i="28"/>
  <c r="BW33" i="28"/>
  <c r="BW34" i="28"/>
  <c r="BW35" i="28"/>
  <c r="BW36" i="28"/>
  <c r="BW37" i="28"/>
  <c r="BW38" i="28"/>
  <c r="BW39" i="28"/>
  <c r="BW40" i="28"/>
  <c r="BW41" i="28"/>
  <c r="BW42" i="28"/>
  <c r="BW43" i="28"/>
  <c r="BW44" i="28"/>
  <c r="BW45" i="28"/>
  <c r="BW46" i="28"/>
  <c r="BW47" i="28"/>
  <c r="BW48" i="28"/>
  <c r="BW49" i="28"/>
  <c r="BW50" i="28"/>
  <c r="BW51" i="28"/>
  <c r="BW52" i="28"/>
  <c r="BW53" i="28"/>
  <c r="BW54" i="28"/>
  <c r="BW55" i="28"/>
  <c r="BW56" i="28"/>
  <c r="BW57" i="28"/>
  <c r="BW58" i="28"/>
  <c r="BW59" i="28"/>
  <c r="BW60" i="28"/>
  <c r="BW61" i="28"/>
  <c r="BW62" i="28"/>
  <c r="BW63" i="28"/>
  <c r="BW64" i="28"/>
  <c r="BW65" i="28"/>
  <c r="BW66" i="28"/>
  <c r="BW67" i="28"/>
  <c r="BW68" i="28"/>
  <c r="BW69" i="28"/>
  <c r="BW11" i="28"/>
  <c r="BW10" i="28"/>
  <c r="BW9" i="28"/>
  <c r="BW8" i="28"/>
  <c r="BW7" i="28"/>
  <c r="BW6" i="28"/>
  <c r="BN3" i="28"/>
  <c r="BM3" i="28"/>
  <c r="BL3" i="28"/>
  <c r="BK3" i="28"/>
  <c r="BJ3" i="28"/>
  <c r="BI3" i="28"/>
  <c r="BH3" i="28"/>
  <c r="BG3" i="28"/>
  <c r="BF3" i="28"/>
  <c r="BE3" i="28"/>
  <c r="BD3" i="28"/>
  <c r="BC3" i="28"/>
  <c r="BB3" i="28"/>
  <c r="BA3" i="28"/>
  <c r="AZ3" i="28"/>
  <c r="AY3" i="28"/>
  <c r="AX3" i="28"/>
  <c r="AW3" i="28"/>
  <c r="AV3" i="28"/>
  <c r="AU3" i="28"/>
  <c r="AT3" i="28"/>
  <c r="AS3" i="28"/>
  <c r="AR3" i="28"/>
  <c r="AQ3" i="28"/>
  <c r="BV3" i="28"/>
  <c r="BU3" i="28"/>
  <c r="BT3" i="28"/>
  <c r="BS3" i="28"/>
  <c r="BR3" i="28"/>
  <c r="BQ3" i="28"/>
  <c r="BP3" i="28"/>
  <c r="BO3" i="28"/>
  <c r="AP3" i="28"/>
  <c r="AO3" i="28"/>
  <c r="AN3" i="28"/>
  <c r="AM3" i="28"/>
  <c r="AL3" i="28"/>
  <c r="AK3" i="28"/>
  <c r="AJ3" i="28"/>
  <c r="AI3" i="28"/>
  <c r="AH3" i="28"/>
  <c r="AG3" i="28"/>
  <c r="AF3" i="28"/>
  <c r="AE3" i="28"/>
  <c r="AD3" i="28"/>
  <c r="AC3" i="28"/>
  <c r="AB3" i="28"/>
  <c r="AA3" i="28"/>
  <c r="Z3" i="28"/>
  <c r="Y3" i="28"/>
  <c r="X3" i="28"/>
  <c r="W3" i="28"/>
  <c r="V3" i="28"/>
  <c r="U3" i="28"/>
  <c r="T3" i="28"/>
  <c r="S3" i="28"/>
  <c r="R3" i="28"/>
  <c r="Q3" i="28"/>
  <c r="P3" i="28"/>
  <c r="O3" i="28"/>
  <c r="N3" i="28"/>
  <c r="M3" i="28"/>
  <c r="L3" i="28"/>
  <c r="K3" i="28"/>
  <c r="D3" i="28"/>
  <c r="E3" i="28"/>
  <c r="F3" i="28"/>
  <c r="G3" i="28"/>
  <c r="H3" i="28"/>
  <c r="I3" i="28"/>
  <c r="J3" i="28"/>
  <c r="C3" i="28"/>
  <c r="C17" i="12"/>
  <c r="L18" i="12"/>
  <c r="C16" i="12"/>
  <c r="D15" i="12"/>
  <c r="C15" i="12"/>
  <c r="D17" i="12"/>
  <c r="L16" i="12"/>
  <c r="L15" i="12"/>
  <c r="C18" i="12"/>
  <c r="D14" i="12"/>
  <c r="L14" i="12"/>
  <c r="D16" i="12"/>
  <c r="C14" i="12"/>
  <c r="D18" i="12"/>
  <c r="E28" i="30" l="1"/>
  <c r="N16" i="12"/>
  <c r="H16" i="12" s="1"/>
  <c r="N18" i="12"/>
  <c r="H18" i="12" s="1"/>
  <c r="N14" i="12"/>
  <c r="H14" i="12" s="1"/>
  <c r="N15" i="12"/>
  <c r="H15" i="12" s="1"/>
  <c r="N17" i="12"/>
  <c r="H17" i="12" s="1"/>
  <c r="E28" i="31"/>
  <c r="E28" i="33"/>
  <c r="E28" i="32"/>
  <c r="E28" i="34"/>
  <c r="E28" i="35"/>
  <c r="BZ12" i="28"/>
  <c r="CA12" i="28"/>
  <c r="M14" i="12"/>
  <c r="AC10" i="8"/>
  <c r="AC8" i="8"/>
  <c r="AB10" i="8"/>
  <c r="T14" i="8"/>
  <c r="AC11" i="8"/>
  <c r="T10" i="8"/>
  <c r="AB13" i="8"/>
  <c r="AB11" i="8"/>
  <c r="T11" i="8"/>
  <c r="AC13" i="8"/>
  <c r="AE9" i="8"/>
  <c r="T13" i="8"/>
  <c r="AC14" i="8"/>
  <c r="AB9" i="8"/>
  <c r="AE14" i="8"/>
  <c r="AB8" i="8"/>
  <c r="AC9" i="8"/>
  <c r="AE8" i="8"/>
  <c r="M16" i="12"/>
  <c r="M17" i="12"/>
  <c r="M18" i="12"/>
  <c r="M15" i="12"/>
  <c r="AB12" i="8"/>
  <c r="AE12" i="8"/>
  <c r="AC12" i="8"/>
  <c r="BZ10" i="28"/>
  <c r="BW3" i="28"/>
  <c r="BZ6" i="28"/>
  <c r="CA8" i="28"/>
  <c r="CA7" i="28"/>
  <c r="BZ8" i="28"/>
  <c r="BZ7" i="28"/>
  <c r="CA11" i="28"/>
  <c r="CA6" i="28"/>
  <c r="BZ11" i="28"/>
  <c r="CA10" i="28"/>
  <c r="BZ9" i="28"/>
  <c r="O14" i="12" l="1"/>
  <c r="R6" i="34"/>
  <c r="V6" i="34" s="1"/>
  <c r="W6" i="34" s="1"/>
  <c r="R6" i="35"/>
  <c r="R7" i="34"/>
  <c r="V7" i="34" s="1"/>
  <c r="W7" i="34" s="1"/>
  <c r="R7" i="35"/>
  <c r="R6" i="32"/>
  <c r="V6" i="32" s="1"/>
  <c r="W6" i="32" s="1"/>
  <c r="R6" i="33"/>
  <c r="R7" i="32"/>
  <c r="V7" i="32" s="1"/>
  <c r="W7" i="32" s="1"/>
  <c r="R7" i="33"/>
  <c r="R6" i="30"/>
  <c r="V6" i="30" s="1"/>
  <c r="W6" i="30" s="1"/>
  <c r="R6" i="31"/>
  <c r="R7" i="30"/>
  <c r="S7" i="30" s="1"/>
  <c r="R7" i="31"/>
  <c r="O15" i="12"/>
  <c r="O18" i="12"/>
  <c r="O16" i="12"/>
  <c r="O17" i="12"/>
  <c r="R7" i="8"/>
  <c r="R6" i="8"/>
  <c r="L68" i="7"/>
  <c r="L57" i="7"/>
  <c r="L58" i="7"/>
  <c r="L59" i="7"/>
  <c r="L60" i="7"/>
  <c r="L61" i="7"/>
  <c r="L62" i="7"/>
  <c r="L63" i="7"/>
  <c r="L64" i="7"/>
  <c r="L65" i="7"/>
  <c r="L66" i="7"/>
  <c r="L67" i="7"/>
  <c r="L46" i="7"/>
  <c r="L47" i="7"/>
  <c r="L48" i="7"/>
  <c r="L49" i="7"/>
  <c r="L50" i="7"/>
  <c r="L51" i="7"/>
  <c r="L52" i="7"/>
  <c r="L53" i="7"/>
  <c r="L54" i="7"/>
  <c r="L55" i="7"/>
  <c r="L56" i="7"/>
  <c r="L33" i="7"/>
  <c r="L34" i="7"/>
  <c r="L35" i="7"/>
  <c r="L36" i="7"/>
  <c r="L37" i="7"/>
  <c r="L38" i="7"/>
  <c r="L39" i="7"/>
  <c r="L40" i="7"/>
  <c r="L41" i="7"/>
  <c r="L42" i="7"/>
  <c r="L43" i="7"/>
  <c r="L44" i="7"/>
  <c r="L45" i="7"/>
  <c r="L11" i="7"/>
  <c r="L12" i="7"/>
  <c r="L20" i="12" s="1"/>
  <c r="M20" i="12" s="1"/>
  <c r="O20" i="12" s="1"/>
  <c r="L13" i="7"/>
  <c r="L14" i="7"/>
  <c r="L15" i="7"/>
  <c r="L16" i="7"/>
  <c r="L17" i="7"/>
  <c r="L18" i="7"/>
  <c r="L19" i="7"/>
  <c r="L20" i="7"/>
  <c r="L21" i="7"/>
  <c r="L22" i="7"/>
  <c r="L23" i="7"/>
  <c r="L24" i="7"/>
  <c r="L25" i="7"/>
  <c r="L26" i="7"/>
  <c r="L27" i="7"/>
  <c r="L28" i="7"/>
  <c r="L29" i="7"/>
  <c r="L30" i="7"/>
  <c r="L31" i="7"/>
  <c r="L32" i="7"/>
  <c r="K3" i="7"/>
  <c r="J3" i="7"/>
  <c r="I3" i="7"/>
  <c r="H3" i="7"/>
  <c r="G3" i="7"/>
  <c r="F3" i="7"/>
  <c r="E3" i="7"/>
  <c r="D3" i="7"/>
  <c r="C3" i="7"/>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11" i="6"/>
  <c r="L12" i="6"/>
  <c r="L13" i="6"/>
  <c r="L14" i="6"/>
  <c r="L15" i="6"/>
  <c r="L16" i="6"/>
  <c r="L17" i="6"/>
  <c r="L18" i="6"/>
  <c r="L19" i="6"/>
  <c r="L20" i="6"/>
  <c r="L21" i="6"/>
  <c r="L22" i="6"/>
  <c r="L23" i="6"/>
  <c r="L24" i="6"/>
  <c r="L25" i="6"/>
  <c r="L26" i="6"/>
  <c r="L27" i="6"/>
  <c r="L28" i="6"/>
  <c r="L29" i="6"/>
  <c r="L30" i="6"/>
  <c r="L31" i="6"/>
  <c r="I3" i="6"/>
  <c r="J3" i="6"/>
  <c r="K3" i="6"/>
  <c r="D3" i="6"/>
  <c r="E3" i="6"/>
  <c r="F3" i="6"/>
  <c r="G3" i="6"/>
  <c r="H3" i="6"/>
  <c r="C3" i="6"/>
  <c r="D14" i="8"/>
  <c r="U14" i="8" s="1"/>
  <c r="D13" i="8"/>
  <c r="U13" i="8" s="1"/>
  <c r="D12" i="8"/>
  <c r="D11" i="8"/>
  <c r="D10" i="8"/>
  <c r="D9" i="8"/>
  <c r="D8" i="8"/>
  <c r="D7" i="8"/>
  <c r="D6" i="8"/>
  <c r="C1" i="8"/>
  <c r="S7" i="34" l="1"/>
  <c r="AC7" i="34" s="1"/>
  <c r="S6" i="34"/>
  <c r="F6" i="34" s="1"/>
  <c r="S7" i="35"/>
  <c r="V7" i="35"/>
  <c r="W7" i="35" s="1"/>
  <c r="V6" i="35"/>
  <c r="W6" i="35" s="1"/>
  <c r="S6" i="35"/>
  <c r="V7" i="30"/>
  <c r="W7" i="30" s="1"/>
  <c r="X7" i="30" s="1"/>
  <c r="T6" i="34"/>
  <c r="AE6" i="34"/>
  <c r="X6" i="34"/>
  <c r="Y6" i="34"/>
  <c r="X7" i="34"/>
  <c r="Y7" i="34"/>
  <c r="S7" i="32"/>
  <c r="AE7" i="32" s="1"/>
  <c r="T7" i="34"/>
  <c r="AB7" i="34"/>
  <c r="AE7" i="34"/>
  <c r="F7" i="34"/>
  <c r="S6" i="32"/>
  <c r="U6" i="32" s="1"/>
  <c r="S7" i="33"/>
  <c r="V7" i="33"/>
  <c r="W7" i="33" s="1"/>
  <c r="V6" i="33"/>
  <c r="W6" i="33" s="1"/>
  <c r="S6" i="33"/>
  <c r="X6" i="32"/>
  <c r="Y6" i="32"/>
  <c r="X7" i="32"/>
  <c r="Y7" i="32"/>
  <c r="S6" i="30"/>
  <c r="T6" i="30" s="1"/>
  <c r="T7" i="32"/>
  <c r="U7" i="32"/>
  <c r="S18" i="32" s="1"/>
  <c r="S7" i="31"/>
  <c r="V7" i="31"/>
  <c r="W7" i="31" s="1"/>
  <c r="V6" i="31"/>
  <c r="W6" i="31" s="1"/>
  <c r="S6" i="31"/>
  <c r="T7" i="30"/>
  <c r="AC7" i="30"/>
  <c r="AB7" i="30"/>
  <c r="AE7" i="30"/>
  <c r="F7" i="30"/>
  <c r="U7" i="30"/>
  <c r="S18" i="30" s="1"/>
  <c r="X6" i="30"/>
  <c r="Y6" i="30"/>
  <c r="T20" i="8"/>
  <c r="S7" i="8"/>
  <c r="AE7" i="8" s="1"/>
  <c r="V7" i="8"/>
  <c r="W7" i="8" s="1"/>
  <c r="X7" i="8" s="1"/>
  <c r="S6" i="8"/>
  <c r="AE6" i="8" s="1"/>
  <c r="V6" i="8"/>
  <c r="W6" i="8" s="1"/>
  <c r="X6" i="8" s="1"/>
  <c r="F13" i="8"/>
  <c r="F14" i="8"/>
  <c r="L5" i="7"/>
  <c r="L6" i="7"/>
  <c r="L7" i="7"/>
  <c r="L8" i="7"/>
  <c r="L9" i="7"/>
  <c r="L10" i="7"/>
  <c r="L5" i="6"/>
  <c r="S17" i="32" l="1"/>
  <c r="V17" i="32" s="1"/>
  <c r="R17" i="32"/>
  <c r="U17" i="32" s="1"/>
  <c r="AC6" i="30"/>
  <c r="Y7" i="30"/>
  <c r="AB6" i="30"/>
  <c r="AC6" i="34"/>
  <c r="U7" i="34"/>
  <c r="S18" i="34" s="1"/>
  <c r="AB6" i="34"/>
  <c r="U6" i="34"/>
  <c r="AB7" i="32"/>
  <c r="AE6" i="32"/>
  <c r="AB6" i="35"/>
  <c r="T6" i="35"/>
  <c r="AC6" i="35"/>
  <c r="AE6" i="35"/>
  <c r="U6" i="35"/>
  <c r="F6" i="35"/>
  <c r="AC7" i="32"/>
  <c r="X6" i="35"/>
  <c r="Y6" i="35"/>
  <c r="X7" i="35"/>
  <c r="Y7" i="35"/>
  <c r="T7" i="35"/>
  <c r="AC7" i="35"/>
  <c r="AB7" i="35"/>
  <c r="AE7" i="35"/>
  <c r="F7" i="35"/>
  <c r="U7" i="35"/>
  <c r="S18" i="35" s="1"/>
  <c r="M6" i="34"/>
  <c r="G6" i="34"/>
  <c r="F7" i="32"/>
  <c r="G7" i="32" s="1"/>
  <c r="H7" i="32" s="1"/>
  <c r="M7" i="34"/>
  <c r="G7" i="34"/>
  <c r="T6" i="32"/>
  <c r="U6" i="30"/>
  <c r="AB6" i="32"/>
  <c r="AC6" i="32"/>
  <c r="AB6" i="33"/>
  <c r="AC6" i="33"/>
  <c r="T6" i="33"/>
  <c r="AE6" i="33"/>
  <c r="U6" i="33"/>
  <c r="F6" i="33"/>
  <c r="F6" i="30"/>
  <c r="M6" i="30" s="1"/>
  <c r="AE6" i="30"/>
  <c r="X6" i="33"/>
  <c r="Y6" i="33"/>
  <c r="F6" i="32"/>
  <c r="G6" i="32" s="1"/>
  <c r="X7" i="33"/>
  <c r="Y7" i="33"/>
  <c r="T7" i="33"/>
  <c r="AC7" i="33"/>
  <c r="AB7" i="33"/>
  <c r="AE7" i="33"/>
  <c r="F7" i="33"/>
  <c r="U7" i="33"/>
  <c r="S18" i="33" s="1"/>
  <c r="T6" i="31"/>
  <c r="AC6" i="31"/>
  <c r="AB6" i="31"/>
  <c r="AE6" i="31"/>
  <c r="F6" i="31"/>
  <c r="U6" i="31"/>
  <c r="X6" i="31"/>
  <c r="Y6" i="31"/>
  <c r="X7" i="31"/>
  <c r="Y7" i="31"/>
  <c r="AC7" i="31"/>
  <c r="AB7" i="31"/>
  <c r="T7" i="31"/>
  <c r="F7" i="31"/>
  <c r="AE7" i="31"/>
  <c r="U7" i="31"/>
  <c r="S18" i="31" s="1"/>
  <c r="G7" i="30"/>
  <c r="M7" i="30"/>
  <c r="G13" i="8"/>
  <c r="H13" i="8" s="1"/>
  <c r="M13" i="8"/>
  <c r="N13" i="8" s="1"/>
  <c r="G14" i="8"/>
  <c r="M14" i="8"/>
  <c r="AB6" i="8"/>
  <c r="T6" i="8"/>
  <c r="AC6" i="8"/>
  <c r="AB7" i="8"/>
  <c r="AC7" i="8"/>
  <c r="T7" i="8"/>
  <c r="L3" i="7"/>
  <c r="S17" i="33" l="1"/>
  <c r="V17" i="33" s="1"/>
  <c r="R17" i="33"/>
  <c r="U17" i="33" s="1"/>
  <c r="S17" i="30"/>
  <c r="V17" i="30" s="1"/>
  <c r="R17" i="30"/>
  <c r="U17" i="30" s="1"/>
  <c r="R17" i="31"/>
  <c r="U17" i="31" s="1"/>
  <c r="S17" i="31"/>
  <c r="V17" i="31" s="1"/>
  <c r="R17" i="34"/>
  <c r="U17" i="34" s="1"/>
  <c r="S17" i="34"/>
  <c r="V17" i="34" s="1"/>
  <c r="R17" i="35"/>
  <c r="U17" i="35" s="1"/>
  <c r="S17" i="35"/>
  <c r="V17" i="35" s="1"/>
  <c r="N7" i="30"/>
  <c r="G15" i="32"/>
  <c r="M15" i="30"/>
  <c r="G15" i="34"/>
  <c r="M15" i="34"/>
  <c r="H7" i="30"/>
  <c r="H7" i="34"/>
  <c r="N7" i="34"/>
  <c r="M7" i="32"/>
  <c r="N7" i="32" s="1"/>
  <c r="M6" i="35"/>
  <c r="G6" i="35"/>
  <c r="G7" i="35"/>
  <c r="H7" i="35" s="1"/>
  <c r="M7" i="35"/>
  <c r="N7" i="35" s="1"/>
  <c r="N6" i="34"/>
  <c r="H6" i="34"/>
  <c r="M6" i="32"/>
  <c r="G6" i="30"/>
  <c r="G15" i="30" s="1"/>
  <c r="G7" i="33"/>
  <c r="H7" i="33" s="1"/>
  <c r="M7" i="33"/>
  <c r="N7" i="33" s="1"/>
  <c r="M6" i="33"/>
  <c r="G6" i="33"/>
  <c r="H6" i="32"/>
  <c r="H15" i="32" s="1"/>
  <c r="M6" i="31"/>
  <c r="G6" i="31"/>
  <c r="M7" i="31"/>
  <c r="N7" i="31" s="1"/>
  <c r="G7" i="31"/>
  <c r="H7" i="31" s="1"/>
  <c r="N6" i="30"/>
  <c r="L6" i="6"/>
  <c r="L8" i="6"/>
  <c r="L9" i="6"/>
  <c r="L7" i="6"/>
  <c r="L10" i="6"/>
  <c r="N15" i="30" l="1"/>
  <c r="N21" i="30" s="1"/>
  <c r="N15" i="34"/>
  <c r="N20" i="34" s="1"/>
  <c r="E25" i="30"/>
  <c r="E30" i="30" s="1"/>
  <c r="M15" i="33"/>
  <c r="H6" i="30"/>
  <c r="H15" i="30" s="1"/>
  <c r="G15" i="33"/>
  <c r="M15" i="35"/>
  <c r="G15" i="31"/>
  <c r="M15" i="31"/>
  <c r="E25" i="32"/>
  <c r="E30" i="32" s="1"/>
  <c r="M15" i="32"/>
  <c r="E25" i="34"/>
  <c r="E30" i="34" s="1"/>
  <c r="G15" i="35"/>
  <c r="H15" i="34"/>
  <c r="H20" i="34" s="1"/>
  <c r="H6" i="35"/>
  <c r="H15" i="35" s="1"/>
  <c r="N6" i="35"/>
  <c r="N15" i="35" s="1"/>
  <c r="N6" i="32"/>
  <c r="N15" i="32" s="1"/>
  <c r="N21" i="32" s="1"/>
  <c r="H6" i="33"/>
  <c r="H15" i="33" s="1"/>
  <c r="H21" i="33" s="1"/>
  <c r="N6" i="33"/>
  <c r="N15" i="33" s="1"/>
  <c r="H20" i="32"/>
  <c r="H21" i="32"/>
  <c r="N6" i="31"/>
  <c r="N15" i="31" s="1"/>
  <c r="H6" i="31"/>
  <c r="H15" i="31" s="1"/>
  <c r="L3" i="6"/>
  <c r="F16" i="12"/>
  <c r="E16" i="12"/>
  <c r="F18" i="12"/>
  <c r="F15" i="12"/>
  <c r="E19" i="12"/>
  <c r="N20" i="30" l="1"/>
  <c r="N21" i="34"/>
  <c r="H20" i="30"/>
  <c r="H21" i="30"/>
  <c r="E25" i="33"/>
  <c r="E30" i="33" s="1"/>
  <c r="E25" i="31"/>
  <c r="E30" i="31" s="1"/>
  <c r="E25" i="35"/>
  <c r="E30" i="35" s="1"/>
  <c r="H21" i="34"/>
  <c r="H20" i="35"/>
  <c r="H21" i="35"/>
  <c r="N20" i="35"/>
  <c r="N21" i="35"/>
  <c r="H20" i="33"/>
  <c r="N20" i="32"/>
  <c r="N20" i="33"/>
  <c r="N21" i="33"/>
  <c r="N20" i="31"/>
  <c r="N21" i="31"/>
  <c r="H20" i="31"/>
  <c r="H21" i="31"/>
  <c r="C9" i="12"/>
  <c r="D9" i="12"/>
  <c r="K15" i="8"/>
  <c r="F14" i="12"/>
  <c r="E14" i="12"/>
  <c r="F19" i="12"/>
  <c r="E15" i="12"/>
  <c r="F17" i="12"/>
  <c r="E17" i="12"/>
  <c r="E18" i="12"/>
  <c r="N19" i="8" l="1"/>
  <c r="N18" i="8"/>
  <c r="D15" i="8"/>
  <c r="L6" i="8"/>
  <c r="L8" i="8"/>
  <c r="L7" i="8"/>
  <c r="L13" i="8"/>
  <c r="L9" i="8"/>
  <c r="L10" i="8"/>
  <c r="L14" i="8"/>
  <c r="P13" i="12"/>
  <c r="L13" i="12"/>
  <c r="E11" i="8" l="1"/>
  <c r="E12" i="8"/>
  <c r="E14" i="8"/>
  <c r="E13" i="8"/>
  <c r="E7" i="8"/>
  <c r="H18" i="8"/>
  <c r="H19" i="8"/>
  <c r="E6" i="8"/>
  <c r="E9" i="8"/>
  <c r="E10" i="8"/>
  <c r="E8" i="8"/>
  <c r="D13" i="12"/>
  <c r="C13" i="12"/>
  <c r="N13" i="12" l="1"/>
  <c r="H13" i="12" s="1"/>
  <c r="M13" i="12"/>
  <c r="C3" i="8"/>
  <c r="N23" i="30"/>
  <c r="N23" i="35"/>
  <c r="N23" i="34"/>
  <c r="N23" i="31"/>
  <c r="N23" i="33"/>
  <c r="N23" i="32"/>
  <c r="N24" i="35" l="1"/>
  <c r="N24" i="34"/>
  <c r="N24" i="33"/>
  <c r="N24" i="32"/>
  <c r="N24" i="31"/>
  <c r="N24" i="30"/>
  <c r="F21" i="8"/>
  <c r="D3" i="8"/>
  <c r="Y7" i="8" s="1"/>
  <c r="E3" i="8"/>
  <c r="H9" i="12"/>
  <c r="E29" i="8"/>
  <c r="V18" i="8"/>
  <c r="O13" i="12"/>
  <c r="U12" i="8"/>
  <c r="F12" i="8"/>
  <c r="M12" i="8" s="1"/>
  <c r="G17" i="12"/>
  <c r="G19" i="12"/>
  <c r="G14" i="12"/>
  <c r="G15" i="12"/>
  <c r="G18" i="12"/>
  <c r="N23" i="8"/>
  <c r="G16" i="12"/>
  <c r="F9" i="8" l="1"/>
  <c r="M9" i="8" s="1"/>
  <c r="U7" i="8"/>
  <c r="U6" i="8"/>
  <c r="F10" i="8"/>
  <c r="M10" i="8" s="1"/>
  <c r="F7" i="8"/>
  <c r="M7" i="8" s="1"/>
  <c r="U11" i="8"/>
  <c r="F6" i="8"/>
  <c r="M6" i="8" s="1"/>
  <c r="U10" i="8"/>
  <c r="U9" i="8"/>
  <c r="F8" i="8"/>
  <c r="M8" i="8" s="1"/>
  <c r="U8" i="8"/>
  <c r="Y6" i="8"/>
  <c r="F11" i="8"/>
  <c r="M11" i="8" s="1"/>
  <c r="N12" i="8"/>
  <c r="G12" i="8"/>
  <c r="H12" i="8" s="1"/>
  <c r="R17" i="8" l="1"/>
  <c r="U17" i="8" s="1"/>
  <c r="G11" i="8"/>
  <c r="S18" i="8"/>
  <c r="N7" i="8"/>
  <c r="G8" i="8"/>
  <c r="G7" i="8"/>
  <c r="H7" i="8" s="1"/>
  <c r="G10" i="8"/>
  <c r="G9" i="8"/>
  <c r="G6" i="8"/>
  <c r="H6" i="8" s="1"/>
  <c r="N6" i="8"/>
  <c r="S17" i="8"/>
  <c r="V17" i="8" s="1"/>
  <c r="S20" i="8"/>
  <c r="V20" i="8" s="1"/>
  <c r="S19" i="8"/>
  <c r="R19" i="8"/>
  <c r="V19" i="8" s="1"/>
  <c r="M15" i="8"/>
  <c r="E25" i="8" l="1"/>
  <c r="N15" i="8"/>
  <c r="N21" i="8" s="1"/>
  <c r="G15" i="8"/>
  <c r="W20" i="8"/>
  <c r="U19" i="8"/>
  <c r="E28" i="8" l="1"/>
  <c r="E30" i="8" s="1"/>
  <c r="N20" i="8"/>
  <c r="H15" i="8"/>
  <c r="H21" i="8" s="1"/>
  <c r="N24" i="8" s="1"/>
  <c r="G13" i="12"/>
  <c r="E13" i="12"/>
  <c r="F13" i="12"/>
  <c r="G9" i="12" l="1"/>
  <c r="F9" i="12"/>
  <c r="E9" i="12"/>
  <c r="H20" i="8"/>
</calcChain>
</file>

<file path=xl/sharedStrings.xml><?xml version="1.0" encoding="utf-8"?>
<sst xmlns="http://schemas.openxmlformats.org/spreadsheetml/2006/main" count="989" uniqueCount="214">
  <si>
    <t>BASIN</t>
  </si>
  <si>
    <t>Landcover</t>
  </si>
  <si>
    <t>Pervious</t>
  </si>
  <si>
    <t>A</t>
  </si>
  <si>
    <t>Impervious</t>
  </si>
  <si>
    <t>Forested wetland</t>
  </si>
  <si>
    <t>A/D</t>
  </si>
  <si>
    <t>Wetlands</t>
  </si>
  <si>
    <t>Trees over Impervious</t>
  </si>
  <si>
    <t>Bare Earth</t>
  </si>
  <si>
    <t>Forested open space</t>
  </si>
  <si>
    <t>B/D</t>
  </si>
  <si>
    <t>Water</t>
  </si>
  <si>
    <t>D</t>
  </si>
  <si>
    <t>C/D</t>
  </si>
  <si>
    <t>B</t>
  </si>
  <si>
    <t>C</t>
  </si>
  <si>
    <t>I</t>
  </si>
  <si>
    <t>P</t>
  </si>
  <si>
    <t>Q</t>
  </si>
  <si>
    <t>S</t>
  </si>
  <si>
    <t>W</t>
  </si>
  <si>
    <t>X</t>
  </si>
  <si>
    <t>acres</t>
  </si>
  <si>
    <t>Trees over pervious</t>
  </si>
  <si>
    <t>Design Event</t>
  </si>
  <si>
    <t>Source</t>
  </si>
  <si>
    <t>5 yr / 24 hour                               </t>
  </si>
  <si>
    <t>Ci</t>
  </si>
  <si>
    <t>Q Runoff (in)</t>
  </si>
  <si>
    <t>Runoff / acre (cf)</t>
  </si>
  <si>
    <t>%</t>
  </si>
  <si>
    <t>P (in)</t>
  </si>
  <si>
    <t>PERVIOUS</t>
  </si>
  <si>
    <t>WATER</t>
  </si>
  <si>
    <t>IMPERVIOUS</t>
  </si>
  <si>
    <t>BARE_EARTH</t>
  </si>
  <si>
    <t>WETLANDS</t>
  </si>
  <si>
    <t>totals</t>
  </si>
  <si>
    <t>LANDCOVER CROSS TABULATIONS</t>
  </si>
  <si>
    <t>Percent tree canopy</t>
  </si>
  <si>
    <t>Percent Impervious</t>
  </si>
  <si>
    <t>Existing Landcover</t>
  </si>
  <si>
    <t>max</t>
  </si>
  <si>
    <t>million gallons</t>
  </si>
  <si>
    <t>Potential Landcover -Increased Tree Cover</t>
  </si>
  <si>
    <t>&lt;- Set % impervious</t>
  </si>
  <si>
    <t>Urban Tree Canopy Stormwater Model</t>
  </si>
  <si>
    <t>The Green Infrastructure Urban Tree Canopy Stormwater Model estimates stormwater runoff yields for current and potential land cover. The methodology is based upon the NRCS TR-55 method for small urban watersheds.  It is used to provide better estimates using GIC's high-resolution land cover and modeling of potential canopy area.</t>
  </si>
  <si>
    <t xml:space="preserve">Tree H20 Capture </t>
  </si>
  <si>
    <t>Tree Cover</t>
  </si>
  <si>
    <t>Impervious Cover</t>
  </si>
  <si>
    <t>This model uses high-resolution land cover maps, overlain with soils data, to estimate stormwater runoff yield using the NRCS TR-55 Curve number method.</t>
  </si>
  <si>
    <t>The 9 landcover classes are:</t>
  </si>
  <si>
    <t>Stormwater Runoff Yield Estimation</t>
  </si>
  <si>
    <t>LandCover</t>
  </si>
  <si>
    <t>Curve Numbers from TR-55</t>
  </si>
  <si>
    <t>The landcover map was combined with a map of hydrologic soil groups (source: NRCS SSURGO) to calculate areas of landcover within each soil hydrolgic group.  The area counts were used to compute composite curve numbers for each drainage basin and landcover combination. The table below provided the curve numbers used for each landcover/soil group combination.</t>
  </si>
  <si>
    <t>Canopy Interception and CN Modification</t>
  </si>
  <si>
    <t>The model incorporates two modifications in an attempt to more accurately estimate the stormwater capture of tree canopies. The canopy interception term (Hynicka &amp; Divers, 2016) is meant to account for the mechanism of tree canopies in intercept, evaporating and transpiring water. The CN adjustment term is meant to account for increased infiltration of water in soils with leaf litter and subject to the ameliorating actions of tree root systems.</t>
  </si>
  <si>
    <t>Canopy interception</t>
  </si>
  <si>
    <t>CN adjustment</t>
  </si>
  <si>
    <t>Recommended</t>
  </si>
  <si>
    <t>These terms may be used or modified at the user dsicretion, as shown below:</t>
  </si>
  <si>
    <t>How the Model Works</t>
  </si>
  <si>
    <t>How to use this model</t>
  </si>
  <si>
    <t>Increased H2O w/xx% tree loss</t>
  </si>
  <si>
    <t>Added H2O Capture w/xx% PPA</t>
  </si>
  <si>
    <t>Event</t>
  </si>
  <si>
    <t>This model allows the user to modify some assumptions, drainage basin by drainage basin, and see the impact upon stormwater runoff yield and precent tree canopy.</t>
  </si>
  <si>
    <t>canopy interception term</t>
  </si>
  <si>
    <t>CN adjust</t>
  </si>
  <si>
    <t xml:space="preserve">CN adjustment for tree impact on soil </t>
  </si>
  <si>
    <t>To run different scenarios the user can change, for one or more drainage basins, the following parameters. Within each drainage basin tab (Tabs 1-12) the user can modify the cells corresponding to each parameter.</t>
  </si>
  <si>
    <t>Parameter</t>
  </si>
  <si>
    <t>Cell</t>
  </si>
  <si>
    <t>Description</t>
  </si>
  <si>
    <t>Storm event</t>
  </si>
  <si>
    <t>C3</t>
  </si>
  <si>
    <t>Precipitation from a given storm event</t>
  </si>
  <si>
    <t>L64</t>
  </si>
  <si>
    <t>Canopy loss  %</t>
  </si>
  <si>
    <t>% loss</t>
  </si>
  <si>
    <t>% impervious</t>
  </si>
  <si>
    <t xml:space="preserve">% impervious of landcover after loss of canopy </t>
  </si>
  <si>
    <t>Tree canopy goal</t>
  </si>
  <si>
    <t>% tree canopy set as a goal (constrained by max potential canopy estimates)</t>
  </si>
  <si>
    <t>I16</t>
  </si>
  <si>
    <t>Q16</t>
  </si>
  <si>
    <t>The results will be updated autimatically  on the summary tab.</t>
  </si>
  <si>
    <t>1 yr / 24 hour      </t>
  </si>
  <si>
    <t>2 yr / 24 hour      </t>
  </si>
  <si>
    <t>10 yr / 24 hour      </t>
  </si>
  <si>
    <t>25 yr / 24 hour      </t>
  </si>
  <si>
    <t>50 yr / 24 hour      </t>
  </si>
  <si>
    <t>Runoff  (MCF)</t>
  </si>
  <si>
    <t>Capture (MCF)</t>
  </si>
  <si>
    <t>Statistics by Drainage Basin (current settings)</t>
  </si>
  <si>
    <t xml:space="preserve">Event </t>
  </si>
  <si>
    <t>Pick an Event</t>
  </si>
  <si>
    <t>PCA</t>
  </si>
  <si>
    <t>The landcover data used was developed from 2016 NAIP 1-m resolution leaf-on aerial imagery and spectral image analysis. Ancillary data were used to refine the classification, including datasest of built infrastructure and wetlands from the National Wetlands Inventory. Spatial adjaceny and contiguity analyses were used to identify forested open spaces.</t>
  </si>
  <si>
    <t>PPA</t>
  </si>
  <si>
    <t>version</t>
  </si>
  <si>
    <t>Increased H2O Capture</t>
  </si>
  <si>
    <t>Design Events &amp; Misc Parameters</t>
  </si>
  <si>
    <t>not mapped</t>
  </si>
  <si>
    <t>Area</t>
  </si>
  <si>
    <t>100 yr / 24 hour      </t>
  </si>
  <si>
    <t>F14</t>
  </si>
  <si>
    <t>I15</t>
  </si>
  <si>
    <t>TreeCanopy</t>
  </si>
  <si>
    <t>TreeCanopyImperv</t>
  </si>
  <si>
    <t>No</t>
  </si>
  <si>
    <t>TOTAL</t>
  </si>
  <si>
    <t>FORESTED OPEN SAPCE</t>
  </si>
  <si>
    <t>TC OVER IMPERV</t>
  </si>
  <si>
    <t>FORESTED WETLANDS</t>
  </si>
  <si>
    <t>Tree Canopy</t>
  </si>
  <si>
    <t>Tree Canopy over Impervious</t>
  </si>
  <si>
    <t>Forested Open Space</t>
  </si>
  <si>
    <t>Forested Wetlands</t>
  </si>
  <si>
    <t>TOTALS</t>
  </si>
  <si>
    <t>LANDCOVER POTENTIAL CROSS TABULATIONS</t>
  </si>
  <si>
    <t>TREE CANOPY</t>
  </si>
  <si>
    <t>FORESTED OPEN SPACE</t>
  </si>
  <si>
    <t>LANDCOVER BY HYDROLOGIC SOIL GROUPS</t>
  </si>
  <si>
    <t>Totals</t>
  </si>
  <si>
    <t>Set Canopy Interception Term</t>
  </si>
  <si>
    <t>CNadj</t>
  </si>
  <si>
    <t>Choices</t>
  </si>
  <si>
    <t>Modeling Parameters</t>
  </si>
  <si>
    <t>Set CN Adjustments for Tree Canopy Cover</t>
  </si>
  <si>
    <t>Notes</t>
  </si>
  <si>
    <t>Composite Curve Numbers</t>
  </si>
  <si>
    <t>Forested Wetland</t>
  </si>
  <si>
    <t>TreeCanopy Imperv</t>
  </si>
  <si>
    <t>Bare earth</t>
  </si>
  <si>
    <t>Load landcover data</t>
  </si>
  <si>
    <t>Load landcover potential data</t>
  </si>
  <si>
    <t>Load landcover/soils data</t>
  </si>
  <si>
    <t>Sheet</t>
  </si>
  <si>
    <t>LoandcoverPotential</t>
  </si>
  <si>
    <t>LC_HSG_Data</t>
  </si>
  <si>
    <t>Events</t>
  </si>
  <si>
    <t>Set canopy interception parameter</t>
  </si>
  <si>
    <t>Set curve number adjustment parameter</t>
  </si>
  <si>
    <t>Enter community name</t>
  </si>
  <si>
    <t>Summary</t>
  </si>
  <si>
    <t>A1</t>
  </si>
  <si>
    <t>B3:D9</t>
  </si>
  <si>
    <t>B5:K68</t>
  </si>
  <si>
    <t>B6:BV69</t>
  </si>
  <si>
    <t>C12</t>
  </si>
  <si>
    <t>C13</t>
  </si>
  <si>
    <t>Copy basin spreadsheets</t>
  </si>
  <si>
    <t>Enter storm event data</t>
  </si>
  <si>
    <t>our recommendation is -2</t>
  </si>
  <si>
    <t>our recommendation .050</t>
  </si>
  <si>
    <t>NOTES</t>
  </si>
  <si>
    <t>Steps for a new analysis</t>
  </si>
  <si>
    <t>NOAA Precipitation Frequency Data Server (PFDS)</t>
  </si>
  <si>
    <t>Data Input</t>
  </si>
  <si>
    <t>Calculations</t>
  </si>
  <si>
    <t>Cell format legend</t>
  </si>
  <si>
    <t>Composite CN's</t>
  </si>
  <si>
    <t>Explanatory</t>
  </si>
  <si>
    <t>CN</t>
  </si>
  <si>
    <t>Ia</t>
  </si>
  <si>
    <t>.05S</t>
  </si>
  <si>
    <t>S.05</t>
  </si>
  <si>
    <t>Formula components</t>
  </si>
  <si>
    <t>IaS</t>
  </si>
  <si>
    <t>without tree canopy</t>
  </si>
  <si>
    <t>Percent of rainfall captured by trees</t>
  </si>
  <si>
    <t>Rainfall captured by trees (million gallons)</t>
  </si>
  <si>
    <t>Summary Results</t>
  </si>
  <si>
    <t>min</t>
  </si>
  <si>
    <t>existing</t>
  </si>
  <si>
    <t>Enter Canopy % Increase</t>
  </si>
  <si>
    <t>% of PPA</t>
  </si>
  <si>
    <t>Add Canopy</t>
  </si>
  <si>
    <t>Tree Cover Goal</t>
  </si>
  <si>
    <t>GOAL: Added canopy (% of total area)</t>
  </si>
  <si>
    <t>Pick a loss scenario</t>
  </si>
  <si>
    <t>Urban tree canopy loss</t>
  </si>
  <si>
    <t>What-If  Scenarios</t>
  </si>
  <si>
    <t>Additional stormwater runoff</t>
  </si>
  <si>
    <t>Forested open space loss</t>
  </si>
  <si>
    <t>total canopy loss</t>
  </si>
  <si>
    <t>TOTAL TREE CANOPY SUMMARY</t>
  </si>
  <si>
    <t>Additional Q/Runoff</t>
  </si>
  <si>
    <t>% UTC loss</t>
  </si>
  <si>
    <t>%FOS Loss</t>
  </si>
  <si>
    <t xml:space="preserve"> % UTC loss</t>
  </si>
  <si>
    <t>% FOS loss</t>
  </si>
  <si>
    <t>Acres</t>
  </si>
  <si>
    <t>Changeable Default (not recommended)</t>
  </si>
  <si>
    <t>Apex, NC</t>
  </si>
  <si>
    <t>BEAVER CREEK</t>
  </si>
  <si>
    <t>BIG BRANCH</t>
  </si>
  <si>
    <t>CRABTREE CREEK</t>
  </si>
  <si>
    <t>MIDDLE CREEK</t>
  </si>
  <si>
    <t>SWIFT CREEK</t>
  </si>
  <si>
    <t>WHITE OAK CREEK</t>
  </si>
  <si>
    <t>WILLIAMS CREEK</t>
  </si>
  <si>
    <t>Site ID: 31-4780</t>
  </si>
  <si>
    <t>Site ID: 31-4781</t>
  </si>
  <si>
    <t>Site ID: 31-4782</t>
  </si>
  <si>
    <t>Site ID: 31-4783</t>
  </si>
  <si>
    <t>Site ID: 31-4784</t>
  </si>
  <si>
    <t>Site ID: 31-4785</t>
  </si>
  <si>
    <t>Site ID: 31-4786</t>
  </si>
  <si>
    <t>To be Planted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</si>
</sst>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_);_(* \(#,##0.0\);_(* &quot;-&quot;??_);_(@_)"/>
    <numFmt numFmtId="165" formatCode="_(* #,##0_);_(* \(#,##0\);_(* &quot;-&quot;??_);_(@_)"/>
    <numFmt numFmtId="166" formatCode="0.0%"/>
    <numFmt numFmtId="167" formatCode="0.000"/>
    <numFmt numFmtId="168" formatCode="[$-409]mmmm\ d\,\ yyyy;@"/>
    <numFmt numFmtId="169" formatCode="0.0"/>
    <numFmt numFmtId="170" formatCode="0.0%;0.0%;&quot;-&quot;"/>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4"/>
      <color theme="0"/>
      <name val="Calibri"/>
      <family val="2"/>
      <scheme val="minor"/>
    </font>
    <font>
      <sz val="14"/>
      <color theme="0"/>
      <name val="Calibri"/>
      <family val="2"/>
      <scheme val="minor"/>
    </font>
    <font>
      <b/>
      <sz val="12"/>
      <color theme="0"/>
      <name val="Calibri"/>
      <family val="2"/>
      <scheme val="minor"/>
    </font>
    <font>
      <sz val="9"/>
      <color theme="1"/>
      <name val="Calibri"/>
      <family val="2"/>
      <scheme val="minor"/>
    </font>
    <font>
      <sz val="12"/>
      <color theme="1"/>
      <name val="Calibri"/>
      <family val="2"/>
      <scheme val="minor"/>
    </font>
    <font>
      <b/>
      <sz val="11"/>
      <color theme="0"/>
      <name val="Calibri"/>
      <family val="2"/>
      <scheme val="minor"/>
    </font>
    <font>
      <sz val="11"/>
      <color theme="0" tint="-0.34998626667073579"/>
      <name val="Calibri"/>
      <family val="2"/>
      <scheme val="minor"/>
    </font>
    <font>
      <b/>
      <sz val="11"/>
      <name val="Calibri"/>
      <family val="2"/>
      <scheme val="minor"/>
    </font>
    <font>
      <b/>
      <sz val="14"/>
      <color theme="1"/>
      <name val="Calibri"/>
      <family val="2"/>
      <scheme val="minor"/>
    </font>
    <font>
      <i/>
      <sz val="12"/>
      <color theme="1"/>
      <name val="Calibri"/>
      <family val="2"/>
      <scheme val="minor"/>
    </font>
    <font>
      <i/>
      <sz val="11"/>
      <color theme="1"/>
      <name val="Calibri"/>
      <family val="2"/>
      <scheme val="minor"/>
    </font>
    <font>
      <i/>
      <sz val="11"/>
      <color theme="1" tint="0.34998626667073579"/>
      <name val="Calibri"/>
      <family val="2"/>
      <scheme val="minor"/>
    </font>
    <font>
      <sz val="11"/>
      <color theme="8"/>
      <name val="Calibri"/>
      <family val="2"/>
      <scheme val="minor"/>
    </font>
    <font>
      <sz val="11"/>
      <color rgb="FFFF0000"/>
      <name val="Calibri"/>
      <family val="2"/>
      <scheme val="minor"/>
    </font>
    <font>
      <i/>
      <sz val="9"/>
      <color rgb="FFFF0000"/>
      <name val="Calibri"/>
      <family val="2"/>
      <scheme val="minor"/>
    </font>
    <font>
      <b/>
      <sz val="16"/>
      <color theme="1"/>
      <name val="Calibri"/>
      <family val="2"/>
      <scheme val="minor"/>
    </font>
    <font>
      <sz val="9"/>
      <color rgb="FFFF0000"/>
      <name val="Calibri"/>
      <family val="2"/>
      <scheme val="minor"/>
    </font>
    <font>
      <sz val="10"/>
      <color theme="0"/>
      <name val="Calibri"/>
      <family val="2"/>
      <scheme val="minor"/>
    </font>
    <font>
      <sz val="10"/>
      <color theme="9" tint="-0.499984740745262"/>
      <name val="Calibri"/>
      <family val="2"/>
      <scheme val="minor"/>
    </font>
    <font>
      <b/>
      <sz val="11"/>
      <color theme="8" tint="-0.499984740745262"/>
      <name val="Calibri"/>
      <family val="2"/>
      <scheme val="minor"/>
    </font>
    <font>
      <i/>
      <sz val="12"/>
      <color theme="8" tint="-0.499984740745262"/>
      <name val="Calibri"/>
      <family val="2"/>
      <scheme val="minor"/>
    </font>
    <font>
      <sz val="11"/>
      <color theme="0" tint="-0.499984740745262"/>
      <name val="Calibri"/>
      <family val="2"/>
      <scheme val="minor"/>
    </font>
    <font>
      <sz val="11"/>
      <color rgb="FF3F3F76"/>
      <name val="Calibri"/>
      <family val="2"/>
      <scheme val="minor"/>
    </font>
    <font>
      <b/>
      <sz val="11"/>
      <color rgb="FFFA7D00"/>
      <name val="Calibri"/>
      <family val="2"/>
      <scheme val="minor"/>
    </font>
    <font>
      <i/>
      <sz val="11"/>
      <color rgb="FF7F7F7F"/>
      <name val="Calibri"/>
      <family val="2"/>
      <scheme val="minor"/>
    </font>
    <font>
      <b/>
      <sz val="10"/>
      <color theme="0"/>
      <name val="Calibri"/>
      <family val="2"/>
      <scheme val="minor"/>
    </font>
    <font>
      <sz val="11"/>
      <name val="Calibri"/>
      <family val="2"/>
      <scheme val="minor"/>
    </font>
    <font>
      <b/>
      <sz val="11"/>
      <color theme="8"/>
      <name val="Calibri"/>
      <family val="2"/>
      <scheme val="minor"/>
    </font>
    <font>
      <u/>
      <sz val="11"/>
      <color theme="10"/>
      <name val="Calibri"/>
      <family val="2"/>
      <scheme val="minor"/>
    </font>
    <font>
      <sz val="11"/>
      <color theme="0" tint="-0.249977111117893"/>
      <name val="Calibri"/>
      <family val="2"/>
      <scheme val="minor"/>
    </font>
    <font>
      <sz val="11"/>
      <color theme="1" tint="0.34998626667073579"/>
      <name val="Calibri"/>
      <family val="2"/>
      <scheme val="minor"/>
    </font>
    <font>
      <sz val="12"/>
      <color theme="1" tint="0.34998626667073579"/>
      <name val="Calibri"/>
      <family val="2"/>
      <scheme val="minor"/>
    </font>
    <font>
      <b/>
      <sz val="11"/>
      <color theme="1" tint="0.34998626667073579"/>
      <name val="Calibri"/>
      <family val="2"/>
      <scheme val="minor"/>
    </font>
    <font>
      <b/>
      <sz val="12"/>
      <color theme="1" tint="0.34998626667073579"/>
      <name val="Calibri"/>
      <family val="2"/>
      <scheme val="minor"/>
    </font>
    <font>
      <i/>
      <sz val="11"/>
      <color rgb="FFFF0000"/>
      <name val="Calibri"/>
      <family val="2"/>
      <scheme val="minor"/>
    </font>
    <font>
      <sz val="11"/>
      <color theme="2" tint="-0.499984740745262"/>
      <name val="Calibri"/>
      <family val="2"/>
      <scheme val="minor"/>
    </font>
    <font>
      <sz val="10"/>
      <color theme="2" tint="-0.499984740745262"/>
      <name val="Calibri"/>
      <family val="2"/>
      <scheme val="minor"/>
    </font>
    <font>
      <sz val="11"/>
      <color theme="0" tint="-0.14999847407452621"/>
      <name val="Calibri"/>
      <family val="2"/>
      <scheme val="minor"/>
    </font>
    <font>
      <sz val="11"/>
      <color theme="9" tint="-0.249977111117893"/>
      <name val="Calibri"/>
      <family val="2"/>
      <scheme val="minor"/>
    </font>
    <font>
      <sz val="11"/>
      <color theme="4" tint="-0.249977111117893"/>
      <name val="Calibri"/>
      <family val="2"/>
      <scheme val="minor"/>
    </font>
  </fonts>
  <fills count="13">
    <fill>
      <patternFill patternType="none"/>
    </fill>
    <fill>
      <patternFill patternType="gray125"/>
    </fill>
    <fill>
      <patternFill patternType="solid">
        <fgColor theme="4"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rgb="FFFFCC99"/>
      </patternFill>
    </fill>
    <fill>
      <patternFill patternType="solid">
        <fgColor rgb="FFF2F2F2"/>
      </patternFill>
    </fill>
    <fill>
      <patternFill patternType="solid">
        <fgColor theme="5"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thin">
        <color rgb="FF7F7F7F"/>
      </right>
      <top/>
      <bottom style="thin">
        <color rgb="FF7F7F7F"/>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9" fillId="10" borderId="13" applyNumberFormat="0" applyAlignment="0" applyProtection="0"/>
    <xf numFmtId="0" fontId="30" fillId="11" borderId="13" applyNumberFormat="0" applyAlignment="0" applyProtection="0"/>
    <xf numFmtId="0" fontId="31" fillId="0" borderId="0" applyNumberFormat="0" applyFill="0" applyBorder="0" applyAlignment="0" applyProtection="0"/>
    <xf numFmtId="0" fontId="35" fillId="0" borderId="0" applyNumberFormat="0" applyFill="0" applyBorder="0" applyAlignment="0" applyProtection="0"/>
  </cellStyleXfs>
  <cellXfs count="364">
    <xf numFmtId="0" fontId="0" fillId="0" borderId="0" xfId="0"/>
    <xf numFmtId="0" fontId="0" fillId="0" borderId="0" xfId="0" applyAlignment="1">
      <alignment wrapText="1"/>
    </xf>
    <xf numFmtId="0" fontId="2" fillId="0" borderId="0" xfId="0" applyFont="1" applyAlignment="1">
      <alignment horizontal="center"/>
    </xf>
    <xf numFmtId="0" fontId="0" fillId="0" borderId="0" xfId="0" applyFont="1" applyAlignment="1">
      <alignment horizontal="center"/>
    </xf>
    <xf numFmtId="0" fontId="0" fillId="0" borderId="0" xfId="0" applyAlignment="1">
      <alignment horizontal="right" vertical="center"/>
    </xf>
    <xf numFmtId="0" fontId="5" fillId="0" borderId="2" xfId="0" applyFont="1" applyBorder="1"/>
    <xf numFmtId="0" fontId="7" fillId="2" borderId="0" xfId="0" applyFont="1" applyFill="1"/>
    <xf numFmtId="0" fontId="8"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5" fillId="0" borderId="1" xfId="1" applyNumberFormat="1" applyFont="1" applyBorder="1" applyAlignment="1">
      <alignment horizontal="center"/>
    </xf>
    <xf numFmtId="0" fontId="10" fillId="0" borderId="1" xfId="0" applyFont="1" applyBorder="1" applyAlignment="1">
      <alignment horizontal="center"/>
    </xf>
    <xf numFmtId="0" fontId="10" fillId="0" borderId="1" xfId="1" applyNumberFormat="1" applyFont="1" applyBorder="1" applyAlignment="1">
      <alignment horizontal="center"/>
    </xf>
    <xf numFmtId="0" fontId="5" fillId="0" borderId="0" xfId="0" applyFont="1" applyAlignment="1">
      <alignment horizont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9" fillId="0" borderId="0" xfId="0" applyFont="1" applyFill="1" applyAlignment="1">
      <alignment horizontal="left" vertical="center" wrapText="1" indent="1"/>
    </xf>
    <xf numFmtId="0" fontId="4" fillId="0" borderId="0" xfId="0" applyFont="1" applyFill="1" applyAlignment="1">
      <alignment horizontal="left" vertical="center" wrapText="1" inden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2" fillId="0" borderId="3" xfId="0" applyFont="1" applyFill="1" applyBorder="1" applyAlignment="1">
      <alignment horizontal="center" vertical="center"/>
    </xf>
    <xf numFmtId="0" fontId="0" fillId="0" borderId="0" xfId="0" applyAlignment="1">
      <alignment horizontal="right"/>
    </xf>
    <xf numFmtId="0" fontId="9" fillId="2" borderId="0" xfId="0" applyFont="1" applyFill="1" applyAlignment="1">
      <alignment vertical="center" wrapText="1"/>
    </xf>
    <xf numFmtId="0" fontId="13" fillId="0" borderId="0" xfId="0" applyFont="1" applyFill="1" applyAlignment="1">
      <alignment horizontal="center" vertical="center"/>
    </xf>
    <xf numFmtId="165" fontId="6" fillId="0" borderId="1" xfId="0" applyNumberFormat="1" applyFont="1" applyBorder="1"/>
    <xf numFmtId="0" fontId="2" fillId="0" borderId="1" xfId="0" applyFont="1" applyBorder="1"/>
    <xf numFmtId="165" fontId="5" fillId="0" borderId="1" xfId="1" applyNumberFormat="1" applyFont="1" applyFill="1" applyBorder="1" applyAlignment="1">
      <alignment vertical="center" wrapText="1"/>
    </xf>
    <xf numFmtId="166" fontId="5" fillId="0" borderId="1" xfId="2" applyNumberFormat="1" applyFont="1" applyFill="1" applyBorder="1" applyAlignment="1">
      <alignment vertical="center" wrapText="1"/>
    </xf>
    <xf numFmtId="0" fontId="6" fillId="0" borderId="1" xfId="0" applyFont="1" applyFill="1" applyBorder="1" applyAlignment="1">
      <alignment horizontal="right"/>
    </xf>
    <xf numFmtId="0" fontId="0" fillId="3" borderId="0" xfId="0" applyFill="1"/>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 fillId="0" borderId="0" xfId="0" applyFont="1" applyFill="1" applyBorder="1" applyAlignment="1">
      <alignment horizontal="left" vertical="center" wrapText="1" indent="1"/>
    </xf>
    <xf numFmtId="0" fontId="14" fillId="0" borderId="0" xfId="0" applyFont="1" applyFill="1" applyAlignment="1">
      <alignment horizontal="left" vertical="center"/>
    </xf>
    <xf numFmtId="0" fontId="0" fillId="0" borderId="0" xfId="0" applyAlignment="1">
      <alignment horizontal="center"/>
    </xf>
    <xf numFmtId="166" fontId="14" fillId="0" borderId="0" xfId="0" applyNumberFormat="1" applyFont="1" applyFill="1" applyAlignment="1">
      <alignment horizontal="center" vertical="center"/>
    </xf>
    <xf numFmtId="0" fontId="7" fillId="2" borderId="0" xfId="0" applyFont="1" applyFill="1" applyAlignment="1">
      <alignment vertical="center"/>
    </xf>
    <xf numFmtId="0" fontId="9" fillId="2" borderId="0" xfId="0" applyFont="1" applyFill="1" applyAlignment="1">
      <alignment vertical="center"/>
    </xf>
    <xf numFmtId="0" fontId="2" fillId="0" borderId="0" xfId="0" applyFont="1"/>
    <xf numFmtId="0" fontId="16" fillId="0" borderId="0" xfId="0" applyFont="1" applyFill="1" applyBorder="1" applyAlignment="1">
      <alignment vertical="top" wrapText="1"/>
    </xf>
    <xf numFmtId="0" fontId="12" fillId="2" borderId="0" xfId="0" applyFont="1" applyFill="1" applyAlignment="1">
      <alignment vertical="center"/>
    </xf>
    <xf numFmtId="0" fontId="0" fillId="0" borderId="0" xfId="0" applyAlignment="1">
      <alignment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Border="1"/>
    <xf numFmtId="0" fontId="2" fillId="0" borderId="2" xfId="0" applyFont="1" applyBorder="1" applyAlignment="1">
      <alignment vertical="center"/>
    </xf>
    <xf numFmtId="0" fontId="2" fillId="0" borderId="9" xfId="0" applyFont="1" applyBorder="1" applyAlignment="1">
      <alignment horizontal="center" vertical="center" wrapText="1"/>
    </xf>
    <xf numFmtId="166" fontId="0" fillId="0" borderId="0" xfId="2" applyNumberFormat="1" applyFont="1" applyBorder="1" applyAlignment="1">
      <alignment horizontal="center"/>
    </xf>
    <xf numFmtId="166" fontId="0" fillId="0" borderId="4" xfId="2" applyNumberFormat="1" applyFont="1" applyFill="1" applyBorder="1"/>
    <xf numFmtId="0" fontId="0" fillId="0" borderId="0" xfId="0" applyAlignment="1">
      <alignment vertical="top" wrapText="1"/>
    </xf>
    <xf numFmtId="0" fontId="0" fillId="0" borderId="0" xfId="0" applyAlignment="1">
      <alignment horizontal="left" vertical="top" wrapText="1"/>
    </xf>
    <xf numFmtId="0" fontId="5" fillId="0" borderId="0" xfId="0" applyFont="1" applyBorder="1"/>
    <xf numFmtId="0" fontId="0" fillId="0" borderId="0" xfId="0" applyAlignment="1">
      <alignment horizontal="left" indent="1"/>
    </xf>
    <xf numFmtId="167" fontId="0" fillId="0" borderId="0" xfId="0" applyNumberFormat="1"/>
    <xf numFmtId="0" fontId="2" fillId="0" borderId="1" xfId="0" applyFont="1" applyBorder="1" applyAlignment="1">
      <alignment horizontal="center" vertical="center" wrapText="1"/>
    </xf>
    <xf numFmtId="0" fontId="0" fillId="0" borderId="1" xfId="0" applyBorder="1" applyAlignment="1">
      <alignment horizontal="center" vertical="center"/>
    </xf>
    <xf numFmtId="165" fontId="2" fillId="0" borderId="0" xfId="0" applyNumberFormat="1" applyFont="1" applyBorder="1"/>
    <xf numFmtId="0" fontId="0" fillId="0" borderId="0" xfId="0" applyFill="1" applyBorder="1" applyAlignment="1">
      <alignment horizontal="right"/>
    </xf>
    <xf numFmtId="0" fontId="19" fillId="0" borderId="0" xfId="0" applyFont="1" applyAlignment="1">
      <alignment horizontal="center" vertical="top" wrapText="1"/>
    </xf>
    <xf numFmtId="0" fontId="19" fillId="0" borderId="0" xfId="0" applyFont="1" applyAlignment="1">
      <alignment horizontal="center"/>
    </xf>
    <xf numFmtId="0" fontId="19" fillId="0" borderId="0" xfId="0" applyFont="1" applyAlignment="1">
      <alignment horizontal="center" vertical="center"/>
    </xf>
    <xf numFmtId="0" fontId="16" fillId="0" borderId="0" xfId="0" applyFont="1" applyFill="1" applyBorder="1" applyAlignment="1">
      <alignment horizontal="left" vertical="top" wrapText="1"/>
    </xf>
    <xf numFmtId="0" fontId="2" fillId="0" borderId="3" xfId="0" applyFont="1" applyFill="1" applyBorder="1" applyAlignment="1">
      <alignment horizontal="left" vertical="center"/>
    </xf>
    <xf numFmtId="166" fontId="1" fillId="0" borderId="1" xfId="2" applyNumberFormat="1" applyFont="1" applyBorder="1" applyAlignment="1">
      <alignment horizontal="center"/>
    </xf>
    <xf numFmtId="0" fontId="9" fillId="2" borderId="0" xfId="0" applyFont="1" applyFill="1" applyAlignment="1">
      <alignment horizontal="right" vertical="center" wrapText="1"/>
    </xf>
    <xf numFmtId="0" fontId="0" fillId="0" borderId="0" xfId="0" applyFont="1" applyAlignment="1"/>
    <xf numFmtId="0" fontId="0" fillId="8" borderId="1" xfId="0" applyFill="1" applyBorder="1" applyAlignment="1">
      <alignment horizontal="center" vertical="center" wrapText="1"/>
    </xf>
    <xf numFmtId="0" fontId="0" fillId="8" borderId="1" xfId="0" applyFill="1" applyBorder="1" applyAlignment="1">
      <alignment horizontal="center"/>
    </xf>
    <xf numFmtId="0" fontId="5" fillId="0" borderId="0" xfId="0" applyFont="1" applyAlignment="1">
      <alignment horizontal="center"/>
    </xf>
    <xf numFmtId="0" fontId="24" fillId="5" borderId="0" xfId="0" applyFont="1" applyFill="1" applyAlignment="1">
      <alignment horizontal="center" vertical="center"/>
    </xf>
    <xf numFmtId="0" fontId="5" fillId="5" borderId="1" xfId="0" applyFont="1" applyFill="1" applyBorder="1" applyAlignment="1">
      <alignment horizontal="center"/>
    </xf>
    <xf numFmtId="0" fontId="0" fillId="5" borderId="1" xfId="0" applyFill="1" applyBorder="1" applyAlignment="1">
      <alignment horizontal="center"/>
    </xf>
    <xf numFmtId="165" fontId="0" fillId="0" borderId="0" xfId="1" applyNumberFormat="1" applyFont="1"/>
    <xf numFmtId="165" fontId="0" fillId="5" borderId="1" xfId="0" applyNumberFormat="1" applyFill="1" applyBorder="1"/>
    <xf numFmtId="0" fontId="0" fillId="5" borderId="8" xfId="0" applyFill="1" applyBorder="1"/>
    <xf numFmtId="0" fontId="0" fillId="5" borderId="9" xfId="0" applyFill="1" applyBorder="1"/>
    <xf numFmtId="0" fontId="5" fillId="5" borderId="11" xfId="0" applyFont="1" applyFill="1" applyBorder="1" applyAlignment="1">
      <alignment horizontal="center" wrapText="1"/>
    </xf>
    <xf numFmtId="0" fontId="5" fillId="5" borderId="4" xfId="0" applyFont="1" applyFill="1" applyBorder="1" applyAlignment="1">
      <alignment horizontal="center"/>
    </xf>
    <xf numFmtId="0" fontId="25" fillId="6" borderId="0" xfId="0" applyFont="1" applyFill="1" applyAlignment="1">
      <alignment horizontal="center" vertical="center"/>
    </xf>
    <xf numFmtId="0" fontId="25" fillId="9" borderId="0" xfId="0" applyFont="1" applyFill="1" applyAlignment="1">
      <alignment horizontal="center" vertical="center"/>
    </xf>
    <xf numFmtId="0" fontId="0" fillId="5" borderId="1" xfId="0" applyFill="1" applyBorder="1" applyAlignment="1">
      <alignment horizontal="center" vertical="center" wrapText="1"/>
    </xf>
    <xf numFmtId="0" fontId="0" fillId="5" borderId="2" xfId="0" applyFill="1" applyBorder="1" applyAlignment="1">
      <alignment vertical="center" wrapText="1"/>
    </xf>
    <xf numFmtId="0" fontId="0" fillId="5" borderId="8" xfId="0" applyFill="1" applyBorder="1" applyAlignment="1">
      <alignment horizontal="right" vertical="center" wrapText="1"/>
    </xf>
    <xf numFmtId="0" fontId="24" fillId="8" borderId="0" xfId="0" applyFont="1" applyFill="1" applyAlignment="1">
      <alignment horizontal="center" vertical="center"/>
    </xf>
    <xf numFmtId="0" fontId="5" fillId="8" borderId="1" xfId="0" applyFont="1" applyFill="1" applyBorder="1" applyAlignment="1">
      <alignment horizontal="center"/>
    </xf>
    <xf numFmtId="165" fontId="0" fillId="8" borderId="1" xfId="0" applyNumberFormat="1" applyFill="1" applyBorder="1"/>
    <xf numFmtId="0" fontId="5" fillId="8" borderId="11" xfId="0" applyFont="1" applyFill="1" applyBorder="1" applyAlignment="1">
      <alignment horizontal="center" wrapText="1"/>
    </xf>
    <xf numFmtId="0" fontId="0" fillId="8" borderId="2" xfId="0" applyFill="1" applyBorder="1" applyAlignment="1">
      <alignment vertical="center" wrapText="1"/>
    </xf>
    <xf numFmtId="0" fontId="0" fillId="8" borderId="8" xfId="0" applyFill="1" applyBorder="1" applyAlignment="1">
      <alignment horizontal="right" vertical="center" wrapText="1"/>
    </xf>
    <xf numFmtId="0" fontId="0" fillId="8" borderId="9" xfId="0" applyFill="1" applyBorder="1" applyAlignment="1">
      <alignment horizontal="right" vertical="center"/>
    </xf>
    <xf numFmtId="0" fontId="5" fillId="8" borderId="4" xfId="0" applyFont="1" applyFill="1" applyBorder="1" applyAlignment="1">
      <alignment horizontal="center"/>
    </xf>
    <xf numFmtId="165" fontId="0" fillId="8" borderId="1" xfId="1" applyNumberFormat="1" applyFont="1" applyFill="1" applyBorder="1"/>
    <xf numFmtId="165" fontId="0" fillId="8" borderId="11" xfId="1" applyNumberFormat="1" applyFont="1" applyFill="1" applyBorder="1"/>
    <xf numFmtId="0" fontId="0" fillId="8" borderId="1" xfId="0" applyFill="1" applyBorder="1"/>
    <xf numFmtId="0" fontId="0" fillId="8" borderId="8" xfId="0" applyFill="1" applyBorder="1"/>
    <xf numFmtId="0" fontId="0" fillId="5" borderId="2" xfId="0" applyFill="1" applyBorder="1"/>
    <xf numFmtId="164" fontId="0" fillId="5" borderId="12" xfId="0" applyNumberFormat="1" applyFill="1" applyBorder="1"/>
    <xf numFmtId="0" fontId="5" fillId="5" borderId="12" xfId="0" applyFont="1" applyFill="1" applyBorder="1" applyAlignment="1">
      <alignment horizontal="center"/>
    </xf>
    <xf numFmtId="0" fontId="0" fillId="5" borderId="8" xfId="0" applyFill="1" applyBorder="1" applyAlignment="1">
      <alignment horizontal="right" vertical="center"/>
    </xf>
    <xf numFmtId="164" fontId="0" fillId="5" borderId="4" xfId="0" applyNumberFormat="1" applyFill="1" applyBorder="1"/>
    <xf numFmtId="0" fontId="28" fillId="0" borderId="0" xfId="0" applyFont="1"/>
    <xf numFmtId="0" fontId="5" fillId="0" borderId="0" xfId="0" applyFont="1" applyAlignment="1">
      <alignment horizontal="center"/>
    </xf>
    <xf numFmtId="43" fontId="0" fillId="0" borderId="0" xfId="1" applyFont="1"/>
    <xf numFmtId="165" fontId="0" fillId="0" borderId="0" xfId="1" applyNumberFormat="1" applyFont="1" applyAlignment="1">
      <alignment horizontal="center"/>
    </xf>
    <xf numFmtId="0" fontId="5" fillId="3" borderId="4" xfId="0" applyFont="1" applyFill="1" applyBorder="1" applyAlignment="1">
      <alignment horizontal="center"/>
    </xf>
    <xf numFmtId="0" fontId="5" fillId="3" borderId="1" xfId="0" applyFont="1" applyFill="1" applyBorder="1" applyAlignment="1">
      <alignment horizontal="center"/>
    </xf>
    <xf numFmtId="0" fontId="0" fillId="0" borderId="10" xfId="0" applyBorder="1"/>
    <xf numFmtId="0" fontId="5" fillId="3" borderId="12" xfId="0" applyFont="1" applyFill="1" applyBorder="1" applyAlignment="1">
      <alignment horizontal="center"/>
    </xf>
    <xf numFmtId="165" fontId="0" fillId="3" borderId="5" xfId="1" applyNumberFormat="1" applyFont="1" applyFill="1" applyBorder="1" applyAlignment="1">
      <alignment horizontal="center" vertical="center"/>
    </xf>
    <xf numFmtId="165" fontId="0" fillId="3" borderId="18" xfId="1" applyNumberFormat="1" applyFont="1" applyFill="1" applyBorder="1" applyAlignment="1">
      <alignment horizontal="center" vertical="center"/>
    </xf>
    <xf numFmtId="165" fontId="0" fillId="3" borderId="6" xfId="1" applyNumberFormat="1" applyFont="1" applyFill="1" applyBorder="1" applyAlignment="1">
      <alignment horizontal="center" vertical="center"/>
    </xf>
    <xf numFmtId="165" fontId="0" fillId="3" borderId="15" xfId="1" applyNumberFormat="1" applyFont="1" applyFill="1" applyBorder="1" applyAlignment="1">
      <alignment horizontal="center" vertical="center"/>
    </xf>
    <xf numFmtId="165" fontId="0" fillId="3" borderId="16" xfId="1" applyNumberFormat="1" applyFont="1" applyFill="1" applyBorder="1" applyAlignment="1">
      <alignment horizontal="center" vertical="center"/>
    </xf>
    <xf numFmtId="165" fontId="0" fillId="3" borderId="17" xfId="1" applyNumberFormat="1" applyFont="1" applyFill="1" applyBorder="1" applyAlignment="1">
      <alignment horizontal="center" vertical="center"/>
    </xf>
    <xf numFmtId="165" fontId="0" fillId="3" borderId="0" xfId="1" applyNumberFormat="1" applyFont="1" applyFill="1"/>
    <xf numFmtId="0" fontId="5" fillId="3" borderId="19" xfId="0" applyFont="1" applyFill="1" applyBorder="1" applyAlignment="1">
      <alignment horizontal="center" wrapText="1"/>
    </xf>
    <xf numFmtId="165" fontId="2" fillId="3" borderId="21" xfId="1" applyNumberFormat="1" applyFont="1" applyFill="1" applyBorder="1" applyAlignment="1">
      <alignment horizontal="left"/>
    </xf>
    <xf numFmtId="0" fontId="2" fillId="3" borderId="19" xfId="0" applyFont="1" applyFill="1" applyBorder="1" applyAlignment="1">
      <alignment horizontal="center"/>
    </xf>
    <xf numFmtId="0" fontId="32" fillId="3" borderId="0" xfId="0" applyFont="1" applyFill="1" applyAlignment="1">
      <alignment horizontal="center" vertical="center"/>
    </xf>
    <xf numFmtId="165" fontId="2" fillId="3" borderId="15" xfId="1" applyNumberFormat="1" applyFont="1" applyFill="1" applyBorder="1"/>
    <xf numFmtId="165" fontId="2" fillId="3" borderId="16" xfId="1" applyNumberFormat="1" applyFont="1" applyFill="1" applyBorder="1"/>
    <xf numFmtId="165" fontId="2" fillId="3" borderId="17" xfId="1" applyNumberFormat="1" applyFont="1" applyFill="1" applyBorder="1"/>
    <xf numFmtId="165" fontId="0" fillId="3" borderId="0" xfId="1" applyNumberFormat="1" applyFont="1" applyFill="1" applyAlignment="1"/>
    <xf numFmtId="0" fontId="9" fillId="3" borderId="0" xfId="0" applyFont="1" applyFill="1" applyAlignment="1">
      <alignment horizontal="center" vertical="center"/>
    </xf>
    <xf numFmtId="0" fontId="4" fillId="3" borderId="14" xfId="0" applyFont="1" applyFill="1" applyBorder="1"/>
    <xf numFmtId="0" fontId="4" fillId="0" borderId="0" xfId="0" applyFont="1"/>
    <xf numFmtId="165" fontId="4" fillId="3" borderId="14" xfId="1" applyNumberFormat="1" applyFont="1" applyFill="1" applyBorder="1"/>
    <xf numFmtId="0" fontId="5" fillId="3" borderId="22" xfId="0" applyFont="1" applyFill="1" applyBorder="1" applyAlignment="1">
      <alignment horizontal="center"/>
    </xf>
    <xf numFmtId="165" fontId="0" fillId="3" borderId="20" xfId="1" applyNumberFormat="1" applyFont="1" applyFill="1" applyBorder="1"/>
    <xf numFmtId="165" fontId="0" fillId="3" borderId="23" xfId="1" applyNumberFormat="1" applyFont="1" applyFill="1" applyBorder="1"/>
    <xf numFmtId="165" fontId="0" fillId="3" borderId="21" xfId="1" applyNumberFormat="1" applyFont="1" applyFill="1" applyBorder="1"/>
    <xf numFmtId="0" fontId="5" fillId="0" borderId="0" xfId="0" applyFont="1" applyBorder="1" applyAlignment="1">
      <alignment horizontal="center"/>
    </xf>
    <xf numFmtId="0" fontId="10" fillId="0" borderId="0" xfId="1" applyNumberFormat="1" applyFont="1" applyBorder="1" applyAlignment="1">
      <alignment horizontal="center"/>
    </xf>
    <xf numFmtId="0" fontId="21" fillId="0" borderId="0" xfId="1" applyNumberFormat="1" applyFont="1" applyBorder="1" applyAlignment="1">
      <alignment horizontal="center"/>
    </xf>
    <xf numFmtId="0" fontId="21" fillId="0" borderId="0" xfId="0" applyFont="1" applyBorder="1" applyAlignment="1">
      <alignment horizontal="center"/>
    </xf>
    <xf numFmtId="0" fontId="10" fillId="0" borderId="0" xfId="0" applyFont="1" applyBorder="1" applyAlignment="1">
      <alignment horizontal="center"/>
    </xf>
    <xf numFmtId="0" fontId="23" fillId="0" borderId="0" xfId="0" applyFont="1" applyBorder="1" applyAlignment="1">
      <alignment horizontal="center"/>
    </xf>
    <xf numFmtId="0" fontId="5" fillId="0" borderId="0" xfId="0" applyFont="1" applyBorder="1" applyAlignment="1"/>
    <xf numFmtId="0" fontId="0" fillId="0" borderId="0" xfId="0" applyFill="1" applyAlignment="1">
      <alignment horizontal="right" vertical="center"/>
    </xf>
    <xf numFmtId="0" fontId="5" fillId="0" borderId="0" xfId="0" applyFont="1" applyFill="1" applyAlignment="1">
      <alignment horizontal="center" vertical="center" wrapText="1"/>
    </xf>
    <xf numFmtId="165" fontId="22" fillId="0" borderId="0" xfId="0" applyNumberFormat="1"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Border="1"/>
    <xf numFmtId="0" fontId="0" fillId="0" borderId="0" xfId="0" applyFill="1" applyBorder="1" applyAlignment="1">
      <alignment horizontal="center" vertical="center" wrapText="1"/>
    </xf>
    <xf numFmtId="0" fontId="0" fillId="0" borderId="0" xfId="0" applyFill="1" applyBorder="1" applyAlignment="1">
      <alignment horizontal="center"/>
    </xf>
    <xf numFmtId="2" fontId="0" fillId="0" borderId="0" xfId="0" applyNumberFormat="1" applyFill="1" applyBorder="1" applyAlignment="1">
      <alignment horizontal="center"/>
    </xf>
    <xf numFmtId="0" fontId="30" fillId="11" borderId="13" xfId="4"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Font="1" applyAlignment="1">
      <alignment horizontal="left" vertical="top" wrapText="1"/>
    </xf>
    <xf numFmtId="0" fontId="2" fillId="0" borderId="0" xfId="0" applyFont="1" applyAlignment="1">
      <alignment horizontal="left" vertical="top" wrapText="1"/>
    </xf>
    <xf numFmtId="0" fontId="34" fillId="0" borderId="0" xfId="0" applyFont="1"/>
    <xf numFmtId="0" fontId="29" fillId="10" borderId="13" xfId="3" applyAlignment="1">
      <alignment horizontal="left"/>
    </xf>
    <xf numFmtId="165" fontId="29" fillId="10" borderId="13" xfId="3" applyNumberFormat="1"/>
    <xf numFmtId="0" fontId="29" fillId="10" borderId="13" xfId="3"/>
    <xf numFmtId="165" fontId="29" fillId="10" borderId="13" xfId="3" applyNumberFormat="1" applyAlignment="1">
      <alignment horizontal="left"/>
    </xf>
    <xf numFmtId="164" fontId="29" fillId="10" borderId="13" xfId="3" applyNumberFormat="1"/>
    <xf numFmtId="165" fontId="29" fillId="10" borderId="13" xfId="3" applyNumberFormat="1" applyAlignment="1">
      <alignment horizontal="center"/>
    </xf>
    <xf numFmtId="0" fontId="34" fillId="0" borderId="0" xfId="0" applyFont="1" applyAlignment="1">
      <alignment horizontal="center"/>
    </xf>
    <xf numFmtId="0" fontId="29" fillId="10" borderId="13" xfId="3" applyAlignment="1"/>
    <xf numFmtId="0" fontId="0" fillId="0" borderId="0" xfId="0" applyFont="1" applyFill="1" applyBorder="1" applyAlignment="1"/>
    <xf numFmtId="0" fontId="35" fillId="0" borderId="0" xfId="6"/>
    <xf numFmtId="43" fontId="30" fillId="11" borderId="13" xfId="4" applyNumberFormat="1"/>
    <xf numFmtId="43" fontId="30" fillId="11" borderId="13" xfId="4" applyNumberFormat="1" applyAlignment="1">
      <alignment horizontal="center"/>
    </xf>
    <xf numFmtId="0" fontId="30" fillId="11" borderId="13" xfId="4"/>
    <xf numFmtId="0" fontId="31" fillId="0" borderId="0" xfId="5"/>
    <xf numFmtId="43" fontId="37" fillId="0" borderId="0" xfId="1" applyFont="1"/>
    <xf numFmtId="165" fontId="37" fillId="0" borderId="0" xfId="1" applyNumberFormat="1" applyFont="1"/>
    <xf numFmtId="0" fontId="39" fillId="0" borderId="0" xfId="0" applyFont="1"/>
    <xf numFmtId="0" fontId="40" fillId="0" borderId="0" xfId="0" applyFont="1"/>
    <xf numFmtId="165" fontId="37" fillId="0" borderId="0" xfId="1" applyNumberFormat="1" applyFont="1" applyAlignment="1">
      <alignment horizontal="center"/>
    </xf>
    <xf numFmtId="0" fontId="37" fillId="0" borderId="0" xfId="0" applyFont="1"/>
    <xf numFmtId="0" fontId="0" fillId="0" borderId="0" xfId="0" applyFont="1" applyFill="1" applyAlignment="1">
      <alignment horizontal="left" vertical="center"/>
    </xf>
    <xf numFmtId="0" fontId="36" fillId="0" borderId="0" xfId="0" applyFont="1" applyFill="1" applyAlignment="1">
      <alignment horizontal="left" vertical="center"/>
    </xf>
    <xf numFmtId="169" fontId="33" fillId="0" borderId="0" xfId="0" applyNumberFormat="1" applyFont="1" applyFill="1" applyAlignment="1">
      <alignment horizontal="center" vertical="center"/>
    </xf>
    <xf numFmtId="0" fontId="33" fillId="0" borderId="0" xfId="0" applyFont="1" applyFill="1" applyAlignment="1">
      <alignment horizontal="center" vertical="center"/>
    </xf>
    <xf numFmtId="166" fontId="30" fillId="11" borderId="13" xfId="4" applyNumberFormat="1" applyAlignment="1">
      <alignment horizontal="center"/>
    </xf>
    <xf numFmtId="9" fontId="30" fillId="11" borderId="13" xfId="4" applyNumberFormat="1" applyAlignment="1">
      <alignment horizontal="center"/>
    </xf>
    <xf numFmtId="0" fontId="29" fillId="10" borderId="13" xfId="3" applyAlignment="1" applyProtection="1">
      <alignment horizontal="left" vertical="center" wrapText="1" indent="1"/>
      <protection locked="0"/>
    </xf>
    <xf numFmtId="0" fontId="0" fillId="0" borderId="10" xfId="0" applyNumberFormat="1" applyBorder="1" applyProtection="1"/>
    <xf numFmtId="43" fontId="0" fillId="0" borderId="0" xfId="1" applyFont="1" applyFill="1" applyAlignment="1">
      <alignment horizontal="left" vertical="center"/>
    </xf>
    <xf numFmtId="0" fontId="0" fillId="0" borderId="0" xfId="0" applyFont="1" applyFill="1" applyAlignment="1">
      <alignment horizontal="center" vertical="center"/>
    </xf>
    <xf numFmtId="43" fontId="0" fillId="0" borderId="0" xfId="1" applyFont="1" applyFill="1" applyAlignment="1">
      <alignment vertical="center"/>
    </xf>
    <xf numFmtId="0" fontId="33" fillId="0" borderId="0" xfId="0" applyFont="1" applyFill="1" applyAlignment="1">
      <alignment vertical="center"/>
    </xf>
    <xf numFmtId="43" fontId="0" fillId="0" borderId="0" xfId="0" applyNumberFormat="1" applyFont="1" applyFill="1" applyAlignment="1">
      <alignment vertical="center"/>
    </xf>
    <xf numFmtId="43" fontId="0" fillId="0" borderId="0" xfId="0" applyNumberFormat="1" applyFont="1" applyFill="1" applyAlignment="1">
      <alignment horizontal="left" vertical="center"/>
    </xf>
    <xf numFmtId="2" fontId="0" fillId="0" borderId="0" xfId="0" applyNumberFormat="1" applyFont="1" applyFill="1" applyAlignment="1">
      <alignment horizontal="center" vertical="center"/>
    </xf>
    <xf numFmtId="0" fontId="0" fillId="0" borderId="0" xfId="0" applyFont="1" applyFill="1" applyBorder="1" applyAlignment="1">
      <alignment horizontal="left" vertical="center"/>
    </xf>
    <xf numFmtId="43" fontId="5" fillId="0" borderId="1" xfId="1" applyFont="1" applyFill="1" applyBorder="1" applyAlignment="1">
      <alignment vertical="center" wrapText="1"/>
    </xf>
    <xf numFmtId="0" fontId="0" fillId="0" borderId="19" xfId="0" applyFont="1" applyFill="1" applyBorder="1" applyAlignment="1">
      <alignment horizontal="left" vertical="center"/>
    </xf>
    <xf numFmtId="169" fontId="33" fillId="0" borderId="7" xfId="0" applyNumberFormat="1" applyFont="1" applyFill="1" applyBorder="1" applyAlignment="1">
      <alignment horizontal="center" vertical="center"/>
    </xf>
    <xf numFmtId="43" fontId="0" fillId="0" borderId="7" xfId="1" applyFont="1" applyFill="1" applyBorder="1" applyAlignment="1">
      <alignment vertical="center"/>
    </xf>
    <xf numFmtId="0" fontId="0" fillId="0" borderId="22" xfId="0" applyFont="1" applyFill="1" applyBorder="1" applyAlignment="1">
      <alignment horizontal="left" vertical="center"/>
    </xf>
    <xf numFmtId="169" fontId="33" fillId="0" borderId="3" xfId="0" applyNumberFormat="1" applyFont="1" applyFill="1" applyBorder="1" applyAlignment="1">
      <alignment horizontal="center" vertical="center"/>
    </xf>
    <xf numFmtId="43" fontId="0" fillId="0" borderId="3" xfId="1" applyFont="1" applyFill="1" applyBorder="1" applyAlignment="1">
      <alignment vertical="center"/>
    </xf>
    <xf numFmtId="170" fontId="5" fillId="0" borderId="1" xfId="2" applyNumberFormat="1" applyFont="1" applyFill="1" applyBorder="1" applyAlignment="1">
      <alignment vertical="center" wrapText="1"/>
    </xf>
    <xf numFmtId="165" fontId="6" fillId="8" borderId="1" xfId="1" applyNumberFormat="1" applyFont="1" applyFill="1" applyBorder="1" applyAlignment="1">
      <alignment vertical="center" wrapText="1"/>
    </xf>
    <xf numFmtId="43" fontId="6" fillId="8" borderId="1" xfId="1" applyNumberFormat="1" applyFont="1" applyFill="1" applyBorder="1" applyAlignment="1">
      <alignment vertical="center" wrapText="1"/>
    </xf>
    <xf numFmtId="165" fontId="5" fillId="8" borderId="1" xfId="1" applyNumberFormat="1" applyFont="1" applyFill="1" applyBorder="1" applyAlignment="1">
      <alignment vertical="center" wrapText="1"/>
    </xf>
    <xf numFmtId="43" fontId="0" fillId="0" borderId="0" xfId="1" applyFont="1" applyFill="1" applyBorder="1" applyAlignment="1">
      <alignment vertical="center"/>
    </xf>
    <xf numFmtId="43" fontId="41" fillId="0" borderId="19" xfId="1" applyFont="1" applyFill="1" applyBorder="1" applyAlignment="1">
      <alignment vertical="center"/>
    </xf>
    <xf numFmtId="43" fontId="41" fillId="0" borderId="7" xfId="1" applyFont="1" applyFill="1" applyBorder="1" applyAlignment="1">
      <alignment vertical="center"/>
    </xf>
    <xf numFmtId="43" fontId="41" fillId="0" borderId="24" xfId="1" applyFont="1" applyFill="1" applyBorder="1" applyAlignment="1">
      <alignment vertical="center"/>
    </xf>
    <xf numFmtId="43" fontId="41" fillId="0" borderId="22" xfId="1" applyFont="1" applyFill="1" applyBorder="1" applyAlignment="1">
      <alignment vertical="center"/>
    </xf>
    <xf numFmtId="43" fontId="41" fillId="0" borderId="3" xfId="1" applyFont="1" applyFill="1" applyBorder="1" applyAlignment="1">
      <alignment vertical="center"/>
    </xf>
    <xf numFmtId="43" fontId="41" fillId="0" borderId="25" xfId="1" applyFont="1" applyFill="1" applyBorder="1" applyAlignment="1">
      <alignment vertical="center"/>
    </xf>
    <xf numFmtId="0" fontId="41" fillId="0" borderId="0" xfId="0" applyFont="1" applyFill="1" applyAlignment="1">
      <alignment horizontal="center" vertical="center"/>
    </xf>
    <xf numFmtId="0" fontId="6" fillId="0" borderId="0" xfId="0" applyFont="1" applyFill="1" applyBorder="1" applyAlignment="1">
      <alignment horizontal="right"/>
    </xf>
    <xf numFmtId="165" fontId="6" fillId="0" borderId="0" xfId="0" applyNumberFormat="1" applyFont="1" applyBorder="1"/>
    <xf numFmtId="0" fontId="2" fillId="0" borderId="0" xfId="0" applyFont="1" applyBorder="1"/>
    <xf numFmtId="43" fontId="4" fillId="0" borderId="0" xfId="0" applyNumberFormat="1" applyFont="1" applyBorder="1" applyAlignment="1">
      <alignment horizontal="right"/>
    </xf>
    <xf numFmtId="0" fontId="0" fillId="0" borderId="0" xfId="0" applyAlignment="1">
      <alignment horizontal="center"/>
    </xf>
    <xf numFmtId="0" fontId="14" fillId="4" borderId="19" xfId="0" applyFont="1" applyFill="1" applyBorder="1" applyAlignment="1">
      <alignment horizontal="left" vertical="center"/>
    </xf>
    <xf numFmtId="0" fontId="14" fillId="4" borderId="7" xfId="0" applyFont="1" applyFill="1" applyBorder="1" applyAlignment="1">
      <alignment horizontal="left" vertical="center"/>
    </xf>
    <xf numFmtId="166" fontId="14" fillId="4" borderId="24" xfId="2" applyNumberFormat="1" applyFont="1" applyFill="1" applyBorder="1" applyAlignment="1">
      <alignment horizontal="right" vertical="center"/>
    </xf>
    <xf numFmtId="0" fontId="14" fillId="7" borderId="10" xfId="0" applyFont="1" applyFill="1" applyBorder="1" applyAlignment="1">
      <alignment horizontal="left" vertical="center"/>
    </xf>
    <xf numFmtId="0" fontId="14" fillId="7" borderId="0" xfId="0" applyFont="1" applyFill="1" applyBorder="1" applyAlignment="1">
      <alignment horizontal="left" vertical="center"/>
    </xf>
    <xf numFmtId="166" fontId="14" fillId="7" borderId="26" xfId="2" applyNumberFormat="1" applyFont="1" applyFill="1" applyBorder="1" applyAlignment="1">
      <alignment horizontal="right" vertical="center"/>
    </xf>
    <xf numFmtId="0" fontId="14" fillId="0" borderId="10" xfId="0" applyFont="1" applyFill="1" applyBorder="1" applyAlignment="1">
      <alignment horizontal="left" vertical="center"/>
    </xf>
    <xf numFmtId="0" fontId="14" fillId="0" borderId="0" xfId="0" applyFont="1" applyFill="1" applyBorder="1" applyAlignment="1">
      <alignment horizontal="left" vertical="center"/>
    </xf>
    <xf numFmtId="166" fontId="0" fillId="0" borderId="26" xfId="2" applyNumberFormat="1" applyFont="1" applyBorder="1" applyAlignment="1">
      <alignment horizontal="right"/>
    </xf>
    <xf numFmtId="43" fontId="4" fillId="0" borderId="25" xfId="1" applyFont="1" applyBorder="1" applyAlignment="1">
      <alignment horizontal="right"/>
    </xf>
    <xf numFmtId="0" fontId="3" fillId="0" borderId="3" xfId="0" applyFont="1" applyFill="1" applyBorder="1" applyAlignment="1">
      <alignment vertical="center"/>
    </xf>
    <xf numFmtId="0" fontId="33" fillId="0" borderId="3" xfId="0" applyFont="1" applyFill="1" applyBorder="1" applyAlignment="1">
      <alignment horizontal="center" vertical="center"/>
    </xf>
    <xf numFmtId="0" fontId="33" fillId="0" borderId="0" xfId="0" applyFont="1" applyFill="1" applyBorder="1" applyAlignment="1">
      <alignment horizontal="center" vertical="center"/>
    </xf>
    <xf numFmtId="0" fontId="33" fillId="4" borderId="7" xfId="0" applyFont="1" applyFill="1" applyBorder="1" applyAlignment="1">
      <alignment horizontal="center" vertical="center"/>
    </xf>
    <xf numFmtId="0" fontId="33" fillId="7" borderId="0" xfId="0" applyFont="1" applyFill="1" applyBorder="1" applyAlignment="1">
      <alignment horizontal="center" vertical="center"/>
    </xf>
    <xf numFmtId="0" fontId="0" fillId="4" borderId="7" xfId="0" applyFill="1" applyBorder="1"/>
    <xf numFmtId="9" fontId="29" fillId="10" borderId="13" xfId="3" applyNumberFormat="1" applyAlignment="1">
      <alignment horizontal="center"/>
    </xf>
    <xf numFmtId="43" fontId="30" fillId="11" borderId="13" xfId="1" applyFont="1" applyFill="1" applyBorder="1" applyAlignment="1">
      <alignment horizontal="center"/>
    </xf>
    <xf numFmtId="0" fontId="28" fillId="0" borderId="3" xfId="0" applyFont="1" applyBorder="1"/>
    <xf numFmtId="0" fontId="4" fillId="0" borderId="2" xfId="0" applyFont="1" applyBorder="1"/>
    <xf numFmtId="166" fontId="4" fillId="0" borderId="8" xfId="2" applyNumberFormat="1" applyFont="1" applyBorder="1" applyAlignment="1">
      <alignment horizontal="center"/>
    </xf>
    <xf numFmtId="164" fontId="4" fillId="0" borderId="8" xfId="0" applyNumberFormat="1" applyFont="1" applyBorder="1"/>
    <xf numFmtId="9" fontId="4" fillId="0" borderId="9" xfId="2" applyNumberFormat="1" applyFont="1" applyBorder="1" applyAlignment="1">
      <alignment horizontal="center"/>
    </xf>
    <xf numFmtId="166" fontId="14" fillId="4" borderId="24" xfId="2" applyNumberFormat="1" applyFont="1" applyFill="1" applyBorder="1" applyAlignment="1">
      <alignment horizontal="center" vertical="center"/>
    </xf>
    <xf numFmtId="0" fontId="14" fillId="4" borderId="10" xfId="0" applyFont="1" applyFill="1" applyBorder="1" applyAlignment="1">
      <alignment horizontal="left" vertical="center"/>
    </xf>
    <xf numFmtId="43" fontId="22" fillId="4" borderId="26" xfId="1" applyFont="1" applyFill="1" applyBorder="1" applyAlignment="1">
      <alignment vertical="center" wrapText="1"/>
    </xf>
    <xf numFmtId="0" fontId="5" fillId="4" borderId="22" xfId="0" applyFont="1" applyFill="1" applyBorder="1" applyAlignment="1">
      <alignment horizontal="center" vertical="center" wrapText="1"/>
    </xf>
    <xf numFmtId="0" fontId="3" fillId="4" borderId="3" xfId="0" applyFont="1" applyFill="1" applyBorder="1" applyAlignment="1">
      <alignment horizontal="left" vertical="center"/>
    </xf>
    <xf numFmtId="0" fontId="2" fillId="4" borderId="3" xfId="0" applyFont="1" applyFill="1" applyBorder="1" applyAlignment="1">
      <alignment horizontal="left" vertical="center"/>
    </xf>
    <xf numFmtId="0" fontId="5" fillId="4" borderId="3" xfId="0" applyFont="1" applyFill="1" applyBorder="1" applyAlignment="1">
      <alignment horizontal="center" vertical="center" wrapText="1"/>
    </xf>
    <xf numFmtId="43" fontId="22" fillId="4" borderId="25" xfId="1" applyFont="1" applyFill="1" applyBorder="1" applyAlignment="1">
      <alignment vertical="center" wrapText="1"/>
    </xf>
    <xf numFmtId="0" fontId="2" fillId="12" borderId="3" xfId="0" applyFont="1" applyFill="1" applyBorder="1" applyAlignment="1">
      <alignment horizontal="left"/>
    </xf>
    <xf numFmtId="0" fontId="0" fillId="12" borderId="3" xfId="0" applyFill="1" applyBorder="1" applyAlignment="1">
      <alignment horizontal="left"/>
    </xf>
    <xf numFmtId="9" fontId="6" fillId="12" borderId="25" xfId="2" applyFont="1" applyFill="1" applyBorder="1"/>
    <xf numFmtId="0" fontId="0" fillId="12" borderId="7" xfId="0" applyFill="1" applyBorder="1"/>
    <xf numFmtId="0" fontId="0" fillId="12" borderId="24" xfId="0" applyFill="1" applyBorder="1"/>
    <xf numFmtId="9" fontId="5" fillId="12" borderId="7" xfId="2" applyFont="1" applyFill="1" applyBorder="1"/>
    <xf numFmtId="9" fontId="5" fillId="12" borderId="0" xfId="2" applyFont="1" applyFill="1" applyBorder="1"/>
    <xf numFmtId="0" fontId="0" fillId="12" borderId="0" xfId="0" applyFont="1" applyFill="1" applyBorder="1" applyAlignment="1">
      <alignment horizontal="left"/>
    </xf>
    <xf numFmtId="9" fontId="5" fillId="12" borderId="26" xfId="2" applyFont="1" applyFill="1" applyBorder="1"/>
    <xf numFmtId="0" fontId="0" fillId="12" borderId="3" xfId="0" applyFont="1" applyFill="1" applyBorder="1" applyAlignment="1">
      <alignment horizontal="left"/>
    </xf>
    <xf numFmtId="9" fontId="5" fillId="12" borderId="25" xfId="2" applyFont="1" applyFill="1" applyBorder="1"/>
    <xf numFmtId="9" fontId="2" fillId="12" borderId="7" xfId="2" applyFont="1" applyFill="1" applyBorder="1"/>
    <xf numFmtId="0" fontId="2" fillId="12" borderId="7" xfId="0" applyFont="1" applyFill="1" applyBorder="1"/>
    <xf numFmtId="0" fontId="2" fillId="12" borderId="19" xfId="0" applyFont="1" applyFill="1" applyBorder="1"/>
    <xf numFmtId="43" fontId="6" fillId="12" borderId="3" xfId="1" applyFont="1" applyFill="1" applyBorder="1"/>
    <xf numFmtId="0" fontId="42" fillId="0" borderId="0" xfId="0" applyFont="1"/>
    <xf numFmtId="43" fontId="42" fillId="0" borderId="0" xfId="1" applyFont="1" applyFill="1" applyAlignment="1">
      <alignment horizontal="left" vertical="center"/>
    </xf>
    <xf numFmtId="0" fontId="43" fillId="0" borderId="1" xfId="0" applyFont="1" applyBorder="1"/>
    <xf numFmtId="43" fontId="20" fillId="0" borderId="1" xfId="0" applyNumberFormat="1" applyFont="1" applyBorder="1"/>
    <xf numFmtId="43" fontId="20" fillId="0" borderId="1" xfId="1" applyFont="1" applyFill="1" applyBorder="1" applyAlignment="1">
      <alignment horizontal="left" vertical="center"/>
    </xf>
    <xf numFmtId="43" fontId="20" fillId="0" borderId="1" xfId="0" applyNumberFormat="1" applyFont="1" applyFill="1" applyBorder="1" applyAlignment="1">
      <alignment horizontal="left" vertical="center"/>
    </xf>
    <xf numFmtId="0" fontId="20" fillId="8" borderId="0" xfId="0" applyFont="1" applyFill="1"/>
    <xf numFmtId="43" fontId="6" fillId="12" borderId="0" xfId="2" applyNumberFormat="1" applyFont="1" applyFill="1" applyBorder="1"/>
    <xf numFmtId="43" fontId="20" fillId="8" borderId="2" xfId="1" applyFont="1" applyFill="1" applyBorder="1" applyAlignment="1">
      <alignment horizontal="left" vertical="center"/>
    </xf>
    <xf numFmtId="0" fontId="20" fillId="8" borderId="2" xfId="0" applyFont="1" applyFill="1" applyBorder="1"/>
    <xf numFmtId="0" fontId="20" fillId="8" borderId="2" xfId="0" applyFont="1" applyFill="1" applyBorder="1" applyAlignment="1">
      <alignment horizontal="left" vertical="center"/>
    </xf>
    <xf numFmtId="43" fontId="20" fillId="0" borderId="27" xfId="0" applyNumberFormat="1" applyFont="1" applyBorder="1"/>
    <xf numFmtId="43" fontId="20" fillId="0" borderId="28" xfId="0" applyNumberFormat="1" applyFont="1" applyBorder="1"/>
    <xf numFmtId="0" fontId="20" fillId="8" borderId="29" xfId="0" applyFont="1" applyFill="1" applyBorder="1"/>
    <xf numFmtId="43" fontId="20" fillId="0" borderId="31" xfId="0" applyNumberFormat="1" applyFont="1" applyBorder="1"/>
    <xf numFmtId="43" fontId="20" fillId="0" borderId="32" xfId="0" applyNumberFormat="1" applyFont="1" applyBorder="1"/>
    <xf numFmtId="43" fontId="20" fillId="8" borderId="30" xfId="0" applyNumberFormat="1" applyFont="1" applyFill="1" applyBorder="1"/>
    <xf numFmtId="0" fontId="44" fillId="8" borderId="1" xfId="0" applyFont="1" applyFill="1" applyBorder="1" applyAlignment="1">
      <alignment horizontal="left" vertical="center"/>
    </xf>
    <xf numFmtId="0" fontId="20" fillId="8" borderId="11" xfId="0" applyFont="1" applyFill="1" applyBorder="1"/>
    <xf numFmtId="43" fontId="20" fillId="0" borderId="11" xfId="0" applyNumberFormat="1" applyFont="1" applyFill="1" applyBorder="1" applyAlignment="1">
      <alignment horizontal="left" vertical="center"/>
    </xf>
    <xf numFmtId="43" fontId="20" fillId="0" borderId="19" xfId="0" applyNumberFormat="1" applyFont="1" applyFill="1" applyBorder="1" applyAlignment="1">
      <alignment horizontal="left" vertical="center"/>
    </xf>
    <xf numFmtId="0" fontId="3" fillId="0" borderId="2" xfId="0" applyFont="1" applyFill="1" applyBorder="1" applyAlignment="1">
      <alignment horizontal="left" vertical="center"/>
    </xf>
    <xf numFmtId="0" fontId="3" fillId="0" borderId="8" xfId="0" applyFont="1" applyFill="1" applyBorder="1" applyAlignment="1">
      <alignment horizontal="left" vertical="center"/>
    </xf>
    <xf numFmtId="9" fontId="29" fillId="10" borderId="13" xfId="3" applyNumberFormat="1"/>
    <xf numFmtId="43" fontId="5" fillId="12" borderId="3" xfId="2" applyNumberFormat="1" applyFont="1" applyFill="1" applyBorder="1"/>
    <xf numFmtId="0" fontId="20" fillId="8" borderId="5" xfId="0" applyFont="1" applyFill="1" applyBorder="1"/>
    <xf numFmtId="0" fontId="20" fillId="8" borderId="32" xfId="0" applyFont="1" applyFill="1" applyBorder="1"/>
    <xf numFmtId="0" fontId="3" fillId="0" borderId="25" xfId="0" applyFont="1" applyFill="1" applyBorder="1" applyAlignment="1">
      <alignment horizontal="left" vertical="center"/>
    </xf>
    <xf numFmtId="165" fontId="30" fillId="11" borderId="13" xfId="1" applyNumberFormat="1" applyFont="1" applyFill="1" applyBorder="1" applyAlignment="1">
      <alignment horizontal="center"/>
    </xf>
    <xf numFmtId="165" fontId="30" fillId="11" borderId="33" xfId="1" applyNumberFormat="1" applyFont="1" applyFill="1" applyBorder="1" applyAlignment="1">
      <alignment horizontal="center"/>
    </xf>
    <xf numFmtId="0" fontId="0" fillId="0" borderId="1" xfId="0" applyBorder="1" applyAlignment="1">
      <alignment horizontal="right" vertical="center"/>
    </xf>
    <xf numFmtId="0" fontId="29" fillId="3" borderId="13" xfId="3" applyFill="1"/>
    <xf numFmtId="0" fontId="29" fillId="3" borderId="13" xfId="3" applyFill="1" applyAlignment="1">
      <alignment horizontal="center"/>
    </xf>
    <xf numFmtId="167" fontId="29" fillId="3" borderId="13" xfId="3" applyNumberFormat="1" applyFill="1" applyProtection="1">
      <protection locked="0"/>
    </xf>
    <xf numFmtId="0" fontId="0" fillId="12" borderId="0" xfId="0" applyFont="1" applyFill="1" applyBorder="1" applyAlignment="1">
      <alignment horizontal="left"/>
    </xf>
    <xf numFmtId="43" fontId="29" fillId="10" borderId="13" xfId="1" applyFont="1" applyFill="1" applyBorder="1" applyAlignment="1">
      <alignment horizontal="left"/>
    </xf>
    <xf numFmtId="43" fontId="29" fillId="10" borderId="13" xfId="1" applyFont="1" applyFill="1" applyBorder="1"/>
    <xf numFmtId="0" fontId="45" fillId="0" borderId="0" xfId="0" applyFont="1" applyAlignment="1">
      <alignment horizontal="center" vertical="center" wrapText="1"/>
    </xf>
    <xf numFmtId="0" fontId="46" fillId="0" borderId="0" xfId="0" applyFont="1" applyBorder="1" applyAlignment="1">
      <alignment horizontal="center"/>
    </xf>
    <xf numFmtId="168" fontId="9" fillId="2" borderId="0" xfId="0" applyNumberFormat="1" applyFont="1" applyFill="1" applyAlignment="1">
      <alignment horizontal="left" vertical="center" wrapText="1"/>
    </xf>
    <xf numFmtId="0" fontId="16" fillId="0" borderId="0" xfId="0" applyFont="1" applyFill="1" applyBorder="1" applyAlignment="1">
      <alignment horizontal="left" vertical="top"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xf>
    <xf numFmtId="0" fontId="46" fillId="0" borderId="3" xfId="0" applyFont="1" applyBorder="1" applyAlignment="1">
      <alignment horizontal="center" wrapText="1"/>
    </xf>
    <xf numFmtId="0" fontId="33" fillId="12" borderId="19" xfId="0" applyFont="1" applyFill="1" applyBorder="1" applyAlignment="1">
      <alignment horizontal="right" vertical="center" wrapText="1"/>
    </xf>
    <xf numFmtId="0" fontId="33" fillId="12" borderId="7" xfId="0" applyFont="1" applyFill="1" applyBorder="1" applyAlignment="1">
      <alignment horizontal="right" vertical="center" wrapText="1"/>
    </xf>
    <xf numFmtId="0" fontId="0" fillId="12" borderId="10" xfId="0" applyFont="1" applyFill="1" applyBorder="1" applyAlignment="1">
      <alignment horizontal="right" vertical="center" indent="1"/>
    </xf>
    <xf numFmtId="0" fontId="0" fillId="12" borderId="0" xfId="0" applyFont="1" applyFill="1" applyBorder="1" applyAlignment="1">
      <alignment horizontal="right" vertical="center" indent="1"/>
    </xf>
    <xf numFmtId="0" fontId="0" fillId="0" borderId="3" xfId="0" applyFont="1" applyFill="1" applyBorder="1" applyAlignment="1">
      <alignment horizontal="left" vertical="center"/>
    </xf>
    <xf numFmtId="0" fontId="11" fillId="0" borderId="0" xfId="0" applyFont="1" applyFill="1" applyAlignment="1">
      <alignment horizontal="left" vertical="center" wrapText="1"/>
    </xf>
    <xf numFmtId="166" fontId="14" fillId="4" borderId="19" xfId="2" applyNumberFormat="1" applyFont="1" applyFill="1" applyBorder="1" applyAlignment="1">
      <alignment horizontal="left" vertical="center"/>
    </xf>
    <xf numFmtId="166" fontId="14" fillId="4" borderId="7" xfId="2" applyNumberFormat="1" applyFont="1" applyFill="1" applyBorder="1" applyAlignment="1">
      <alignment horizontal="left" vertical="center"/>
    </xf>
    <xf numFmtId="0" fontId="2" fillId="4" borderId="0" xfId="0" applyFont="1" applyFill="1" applyBorder="1" applyAlignment="1">
      <alignment horizontal="right" vertical="center"/>
    </xf>
    <xf numFmtId="0" fontId="14" fillId="0" borderId="7" xfId="0" applyFont="1" applyFill="1" applyBorder="1" applyAlignment="1">
      <alignment horizontal="center" vertical="center"/>
    </xf>
    <xf numFmtId="0" fontId="0" fillId="12" borderId="0" xfId="0" applyFont="1" applyFill="1" applyBorder="1" applyAlignment="1">
      <alignment horizontal="left"/>
    </xf>
    <xf numFmtId="0" fontId="0" fillId="12" borderId="26" xfId="0" applyFont="1" applyFill="1" applyBorder="1" applyAlignment="1">
      <alignment horizontal="left"/>
    </xf>
    <xf numFmtId="0" fontId="0" fillId="12" borderId="7" xfId="0" applyFont="1" applyFill="1" applyBorder="1" applyAlignment="1">
      <alignment horizontal="left"/>
    </xf>
    <xf numFmtId="0" fontId="0" fillId="12" borderId="24" xfId="0" applyFont="1" applyFill="1" applyBorder="1" applyAlignment="1">
      <alignment horizontal="left"/>
    </xf>
    <xf numFmtId="0" fontId="2" fillId="0" borderId="3" xfId="0" applyFont="1" applyFill="1" applyBorder="1" applyAlignment="1">
      <alignment horizontal="center"/>
    </xf>
    <xf numFmtId="0" fontId="2" fillId="0" borderId="7" xfId="0" applyFont="1" applyFill="1" applyBorder="1" applyAlignment="1">
      <alignment horizontal="center" vertical="center" wrapText="1"/>
    </xf>
    <xf numFmtId="0" fontId="20" fillId="0" borderId="7" xfId="0" applyFont="1" applyFill="1" applyBorder="1" applyAlignment="1">
      <alignment horizontal="center" vertical="center"/>
    </xf>
    <xf numFmtId="0" fontId="9" fillId="2" borderId="0" xfId="0" applyFont="1" applyFill="1" applyAlignment="1">
      <alignment horizontal="left" vertical="center" wrapText="1" indent="1"/>
    </xf>
    <xf numFmtId="0" fontId="2" fillId="0" borderId="7" xfId="0" applyFont="1" applyFill="1" applyBorder="1" applyAlignment="1">
      <alignment horizontal="center" vertical="center"/>
    </xf>
    <xf numFmtId="166" fontId="2" fillId="0" borderId="22" xfId="2" applyNumberFormat="1" applyFont="1" applyBorder="1" applyAlignment="1">
      <alignment horizontal="left" vertical="center"/>
    </xf>
    <xf numFmtId="166" fontId="2" fillId="0" borderId="3" xfId="2" applyNumberFormat="1" applyFont="1" applyBorder="1" applyAlignment="1">
      <alignment horizontal="left" vertical="center"/>
    </xf>
    <xf numFmtId="0" fontId="0" fillId="4" borderId="7" xfId="0" applyFill="1" applyBorder="1" applyAlignment="1">
      <alignment horizontal="center"/>
    </xf>
    <xf numFmtId="0" fontId="33" fillId="0" borderId="3" xfId="0" applyFont="1" applyFill="1" applyBorder="1" applyAlignment="1">
      <alignment horizontal="left" vertical="center"/>
    </xf>
    <xf numFmtId="0" fontId="14" fillId="7" borderId="0" xfId="0" applyFont="1" applyFill="1" applyBorder="1" applyAlignment="1">
      <alignment horizontal="center" vertical="center"/>
    </xf>
    <xf numFmtId="0" fontId="33" fillId="0" borderId="0" xfId="0" applyFont="1" applyFill="1" applyBorder="1" applyAlignment="1">
      <alignment horizontal="left" vertical="center"/>
    </xf>
    <xf numFmtId="0" fontId="0" fillId="12" borderId="22" xfId="0" applyFont="1" applyFill="1" applyBorder="1" applyAlignment="1">
      <alignment horizontal="right" vertical="center" indent="1"/>
    </xf>
    <xf numFmtId="0" fontId="0" fillId="12" borderId="3" xfId="0" applyFont="1" applyFill="1" applyBorder="1" applyAlignment="1">
      <alignment horizontal="right" vertical="center" indent="1"/>
    </xf>
    <xf numFmtId="0" fontId="2" fillId="12" borderId="22" xfId="0" applyFont="1" applyFill="1" applyBorder="1" applyAlignment="1">
      <alignment horizontal="right" vertical="center" indent="1"/>
    </xf>
    <xf numFmtId="0" fontId="2" fillId="12" borderId="3" xfId="0" applyFont="1" applyFill="1" applyBorder="1" applyAlignment="1">
      <alignment horizontal="right" vertical="center" indent="1"/>
    </xf>
    <xf numFmtId="0" fontId="33" fillId="12" borderId="10" xfId="0" applyFont="1" applyFill="1" applyBorder="1" applyAlignment="1">
      <alignment horizontal="right" vertical="center" wrapText="1"/>
    </xf>
    <xf numFmtId="0" fontId="33" fillId="12" borderId="0" xfId="0" applyFont="1" applyFill="1" applyBorder="1" applyAlignment="1">
      <alignment horizontal="right" vertical="center" wrapText="1"/>
    </xf>
    <xf numFmtId="0" fontId="17" fillId="0" borderId="0" xfId="0" applyFont="1" applyAlignment="1">
      <alignment horizontal="center" vertical="center"/>
    </xf>
    <xf numFmtId="0" fontId="0"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horizontal="center"/>
    </xf>
    <xf numFmtId="0" fontId="31" fillId="0" borderId="0" xfId="5" applyAlignment="1">
      <alignment horizontal="left"/>
    </xf>
    <xf numFmtId="0" fontId="17" fillId="0" borderId="0" xfId="0" applyFont="1" applyAlignment="1">
      <alignment horizontal="left" vertical="top" wrapText="1"/>
    </xf>
    <xf numFmtId="0" fontId="0" fillId="0" borderId="0" xfId="0" applyFont="1" applyFill="1" applyBorder="1" applyAlignment="1">
      <alignment horizontal="center" wrapText="1"/>
    </xf>
    <xf numFmtId="0" fontId="2" fillId="8" borderId="0" xfId="0" applyFont="1" applyFill="1" applyAlignment="1">
      <alignment horizontal="center" vertical="center"/>
    </xf>
    <xf numFmtId="0" fontId="16" fillId="8" borderId="3" xfId="0" applyFont="1" applyFill="1" applyBorder="1" applyAlignment="1">
      <alignment horizontal="center" vertical="center" wrapText="1"/>
    </xf>
    <xf numFmtId="0" fontId="26" fillId="5" borderId="0" xfId="0" applyFont="1" applyFill="1" applyAlignment="1">
      <alignment horizontal="center" vertical="center"/>
    </xf>
    <xf numFmtId="0" fontId="27" fillId="5" borderId="3" xfId="0" applyFont="1" applyFill="1" applyBorder="1" applyAlignment="1">
      <alignment horizontal="center" vertical="center" wrapText="1"/>
    </xf>
    <xf numFmtId="43" fontId="37" fillId="0" borderId="0" xfId="1" applyFont="1" applyFill="1" applyBorder="1" applyAlignment="1">
      <alignment horizontal="center" vertical="center"/>
    </xf>
    <xf numFmtId="43" fontId="37" fillId="0" borderId="0" xfId="1"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43" fontId="38" fillId="0" borderId="0" xfId="1" applyFont="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165" fontId="17" fillId="3" borderId="18" xfId="1" applyNumberFormat="1" applyFont="1" applyFill="1" applyBorder="1" applyAlignment="1">
      <alignment horizontal="center"/>
    </xf>
    <xf numFmtId="165" fontId="15" fillId="3" borderId="0" xfId="1" applyNumberFormat="1" applyFont="1" applyFill="1" applyAlignment="1">
      <alignment horizontal="left"/>
    </xf>
    <xf numFmtId="0" fontId="0" fillId="0" borderId="0" xfId="0" applyAlignment="1">
      <alignment horizontal="left"/>
    </xf>
    <xf numFmtId="0" fontId="0" fillId="0" borderId="0" xfId="0" applyAlignment="1">
      <alignment horizontal="left" vertical="center" wrapText="1"/>
    </xf>
  </cellXfs>
  <cellStyles count="7">
    <cellStyle name="Calculation" xfId="4" builtinId="22"/>
    <cellStyle name="Comma" xfId="1" builtinId="3"/>
    <cellStyle name="Explanatory Text" xfId="5" builtinId="53"/>
    <cellStyle name="Hyperlink" xfId="6" builtinId="8"/>
    <cellStyle name="Input" xfId="3" builtinId="2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19050</xdr:rowOff>
    </xdr:from>
    <xdr:to>
      <xdr:col>1</xdr:col>
      <xdr:colOff>1619249</xdr:colOff>
      <xdr:row>7</xdr:row>
      <xdr:rowOff>132182</xdr:rowOff>
    </xdr:to>
    <xdr:pic>
      <xdr:nvPicPr>
        <xdr:cNvPr id="2" name="Picture 1" descr="http://www.gicinc.org/Images/GIC_Logo_text.jp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66700"/>
          <a:ext cx="1876424" cy="127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247650</xdr:colOff>
      <xdr:row>1</xdr:row>
      <xdr:rowOff>133350</xdr:rowOff>
    </xdr:from>
    <xdr:to>
      <xdr:col>14</xdr:col>
      <xdr:colOff>142875</xdr:colOff>
      <xdr:row>8</xdr:row>
      <xdr:rowOff>157207</xdr:rowOff>
    </xdr:to>
    <xdr:pic>
      <xdr:nvPicPr>
        <xdr:cNvPr id="3" name="Picture 2">
          <a:extLst>
            <a:ext uri="{FF2B5EF4-FFF2-40B4-BE49-F238E27FC236}">
              <a16:creationId xmlns:a16="http://schemas.microsoft.com/office/drawing/2014/main" xmlns="" id="{9A693911-D6F7-446F-A584-94CB442F98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25050" y="371475"/>
          <a:ext cx="1171575" cy="13764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ew%20West\Dropbox\GIS_TreesandStormwater\LBG_TSW\Stats\LBG_TSW_Calcs%202018-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C Capture"/>
      <sheetName val="Events (Inc)"/>
      <sheetName val="Events PCA (Inc) "/>
      <sheetName val="BasinsSummary"/>
      <sheetName val="Composite CN"/>
      <sheetName val="BasinEstimates"/>
      <sheetName val="NRCS_events"/>
      <sheetName val="ExistingLC"/>
      <sheetName val="PCA_LC"/>
      <sheetName val="soilLC"/>
      <sheetName val="Options"/>
      <sheetName val="Tab11-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5">
          <cell r="B15">
            <v>61.053478556697961</v>
          </cell>
          <cell r="C15">
            <v>97.999999999999986</v>
          </cell>
          <cell r="D15">
            <v>63.60455044077473</v>
          </cell>
          <cell r="F15">
            <v>98.000000000000014</v>
          </cell>
          <cell r="G15">
            <v>87.018805511557716</v>
          </cell>
        </row>
        <row r="24">
          <cell r="B24">
            <v>27154.285990760902</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hdsc.nws.noaa.gov/hdsc/pfds/pfds_map_cont.html?bkmrk=va"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tabSelected="1" workbookViewId="0">
      <pane ySplit="1" topLeftCell="A2" activePane="bottomLeft" state="frozen"/>
      <selection pane="bottomLeft" activeCell="C2" sqref="C2:L7"/>
    </sheetView>
  </sheetViews>
  <sheetFormatPr defaultRowHeight="15" x14ac:dyDescent="0.25"/>
  <cols>
    <col min="1" max="1" width="4" customWidth="1"/>
    <col min="2" max="2" width="29" customWidth="1"/>
    <col min="3" max="3" width="10.42578125" customWidth="1"/>
    <col min="4" max="4" width="11.140625" customWidth="1"/>
    <col min="5" max="5" width="8.7109375" bestFit="1" customWidth="1"/>
    <col min="6" max="6" width="11.140625" bestFit="1" customWidth="1"/>
    <col min="7" max="7" width="12.140625" customWidth="1"/>
    <col min="8" max="8" width="9.85546875" customWidth="1"/>
    <col min="9" max="9" width="27.7109375" bestFit="1" customWidth="1"/>
    <col min="10" max="10" width="10.85546875" bestFit="1" customWidth="1"/>
    <col min="11" max="11" width="10.85546875" customWidth="1"/>
    <col min="12" max="12" width="7.42578125" customWidth="1"/>
    <col min="13" max="13" width="7.140625" customWidth="1"/>
    <col min="14" max="14" width="12" bestFit="1" customWidth="1"/>
    <col min="15" max="15" width="9.140625" customWidth="1"/>
    <col min="16" max="16" width="10.140625" bestFit="1" customWidth="1"/>
  </cols>
  <sheetData>
    <row r="1" spans="1:16" s="8" customFormat="1" ht="18.75" x14ac:dyDescent="0.25">
      <c r="A1" s="38" t="s">
        <v>198</v>
      </c>
      <c r="C1" s="24"/>
      <c r="D1" s="39" t="s">
        <v>47</v>
      </c>
      <c r="G1" s="39"/>
      <c r="H1" s="24"/>
      <c r="I1" s="67" t="s">
        <v>103</v>
      </c>
      <c r="J1" s="300">
        <v>43296</v>
      </c>
      <c r="K1" s="300"/>
      <c r="L1" s="300"/>
      <c r="M1" s="300"/>
      <c r="N1" s="300"/>
    </row>
    <row r="2" spans="1:16" ht="15" customHeight="1" x14ac:dyDescent="0.25">
      <c r="C2" s="301" t="s">
        <v>48</v>
      </c>
      <c r="D2" s="301"/>
      <c r="E2" s="301"/>
      <c r="F2" s="301"/>
      <c r="G2" s="301"/>
      <c r="H2" s="301"/>
      <c r="I2" s="301"/>
      <c r="J2" s="301"/>
      <c r="K2" s="301"/>
      <c r="L2" s="301"/>
      <c r="M2" s="64"/>
      <c r="N2" s="41"/>
      <c r="O2" s="41"/>
      <c r="P2" s="41"/>
    </row>
    <row r="3" spans="1:16" ht="15.75" customHeight="1" x14ac:dyDescent="0.25">
      <c r="C3" s="301"/>
      <c r="D3" s="301"/>
      <c r="E3" s="301"/>
      <c r="F3" s="301"/>
      <c r="G3" s="301"/>
      <c r="H3" s="301"/>
      <c r="I3" s="301"/>
      <c r="J3" s="301"/>
      <c r="K3" s="301"/>
      <c r="L3" s="301"/>
      <c r="M3" s="64"/>
      <c r="N3" s="41"/>
      <c r="O3" s="41"/>
      <c r="P3" s="41"/>
    </row>
    <row r="4" spans="1:16" ht="15" customHeight="1" x14ac:dyDescent="0.25">
      <c r="C4" s="301"/>
      <c r="D4" s="301"/>
      <c r="E4" s="301"/>
      <c r="F4" s="301"/>
      <c r="G4" s="301"/>
      <c r="H4" s="301"/>
      <c r="I4" s="301"/>
      <c r="J4" s="301"/>
      <c r="K4" s="301"/>
      <c r="L4" s="301"/>
      <c r="M4" s="64"/>
      <c r="N4" s="41"/>
      <c r="O4" s="41"/>
      <c r="P4" s="41"/>
    </row>
    <row r="5" spans="1:16" ht="15" customHeight="1" x14ac:dyDescent="0.25">
      <c r="C5" s="301"/>
      <c r="D5" s="301"/>
      <c r="E5" s="301"/>
      <c r="F5" s="301"/>
      <c r="G5" s="301"/>
      <c r="H5" s="301"/>
      <c r="I5" s="301"/>
      <c r="J5" s="301"/>
      <c r="K5" s="301"/>
      <c r="L5" s="301"/>
      <c r="M5" s="64"/>
      <c r="N5" s="41"/>
      <c r="O5" s="41"/>
      <c r="P5" s="41"/>
    </row>
    <row r="6" spans="1:16" ht="15" customHeight="1" x14ac:dyDescent="0.25">
      <c r="C6" s="301"/>
      <c r="D6" s="301"/>
      <c r="E6" s="301"/>
      <c r="F6" s="301"/>
      <c r="G6" s="301"/>
      <c r="H6" s="301"/>
      <c r="I6" s="301"/>
      <c r="J6" s="301"/>
      <c r="K6" s="301"/>
      <c r="L6" s="301"/>
      <c r="M6" s="64"/>
      <c r="N6" s="41"/>
      <c r="O6" s="41"/>
      <c r="P6" s="41"/>
    </row>
    <row r="7" spans="1:16" ht="15.75" x14ac:dyDescent="0.25">
      <c r="C7" s="301"/>
      <c r="D7" s="301"/>
      <c r="E7" s="301"/>
      <c r="F7" s="301"/>
      <c r="G7" s="301"/>
      <c r="H7" s="301"/>
      <c r="I7" s="301"/>
      <c r="J7" s="301"/>
      <c r="K7" s="301"/>
      <c r="L7" s="301"/>
      <c r="M7" s="64"/>
    </row>
    <row r="9" spans="1:16" ht="15.75" x14ac:dyDescent="0.25">
      <c r="B9" s="234" t="s">
        <v>122</v>
      </c>
      <c r="C9" s="235">
        <f>SUM(Landcover!C3:D3,Landcover!I3:J3)/Landcover!L3</f>
        <v>0.45040504518415519</v>
      </c>
      <c r="D9" s="235">
        <f>Landcover!G3/Landcover!L3</f>
        <v>0.26958944009237723</v>
      </c>
      <c r="E9" s="236">
        <f ca="1">SUM(E13:E76)</f>
        <v>39.777941784036692</v>
      </c>
      <c r="F9" s="236">
        <f ca="1">SUM(F13:F76)</f>
        <v>14.324749236828621</v>
      </c>
      <c r="G9" s="236">
        <f ca="1">SUM(G13:G76)</f>
        <v>12.233350434851804</v>
      </c>
      <c r="H9" s="237">
        <f ca="1">SUMPRODUCT(H13:H76,Landcover!L5:L68)/Landcover!L3</f>
        <v>0.49112077864038717</v>
      </c>
    </row>
    <row r="10" spans="1:16" x14ac:dyDescent="0.25">
      <c r="B10" s="307" t="s">
        <v>97</v>
      </c>
      <c r="C10" s="307"/>
      <c r="D10" s="307"/>
      <c r="E10" s="307"/>
      <c r="F10" s="307"/>
      <c r="G10" s="307"/>
      <c r="H10" s="307"/>
      <c r="I10" s="47"/>
    </row>
    <row r="11" spans="1:16" s="43" customFormat="1" ht="45" x14ac:dyDescent="0.25">
      <c r="B11" s="48" t="s">
        <v>107</v>
      </c>
      <c r="C11" s="44" t="s">
        <v>50</v>
      </c>
      <c r="D11" s="45" t="s">
        <v>51</v>
      </c>
      <c r="E11" s="45" t="s">
        <v>49</v>
      </c>
      <c r="F11" s="45" t="s">
        <v>66</v>
      </c>
      <c r="G11" s="45" t="s">
        <v>67</v>
      </c>
      <c r="H11" s="49" t="s">
        <v>182</v>
      </c>
      <c r="I11" s="299" t="s">
        <v>99</v>
      </c>
      <c r="J11" s="308" t="s">
        <v>184</v>
      </c>
      <c r="K11" s="308"/>
      <c r="N11" s="298" t="s">
        <v>179</v>
      </c>
      <c r="O11" s="298" t="s">
        <v>213</v>
      </c>
    </row>
    <row r="12" spans="1:16" s="43" customFormat="1" ht="15" customHeight="1" x14ac:dyDescent="0.25">
      <c r="B12" s="48"/>
      <c r="C12" s="305" t="s">
        <v>31</v>
      </c>
      <c r="D12" s="306"/>
      <c r="E12" s="302" t="s">
        <v>44</v>
      </c>
      <c r="F12" s="303"/>
      <c r="G12" s="304"/>
      <c r="H12" s="46" t="s">
        <v>31</v>
      </c>
      <c r="I12" s="57" t="s">
        <v>68</v>
      </c>
      <c r="J12" s="58" t="s">
        <v>192</v>
      </c>
      <c r="K12" s="58" t="s">
        <v>193</v>
      </c>
      <c r="L12" s="58" t="s">
        <v>100</v>
      </c>
      <c r="M12" s="58" t="s">
        <v>102</v>
      </c>
      <c r="N12" s="46" t="s">
        <v>181</v>
      </c>
      <c r="O12" s="58" t="s">
        <v>180</v>
      </c>
      <c r="P12" s="291" t="s">
        <v>196</v>
      </c>
    </row>
    <row r="13" spans="1:16" x14ac:dyDescent="0.25">
      <c r="A13" s="103">
        <v>1</v>
      </c>
      <c r="B13" s="182" t="str">
        <f>IF(ISNONTEXT(Landcover!B5),"",Landcover!B5)</f>
        <v>BEAVER CREEK</v>
      </c>
      <c r="C13" s="179">
        <f ca="1">IFERROR(INDIRECT($A13&amp;"!h18"),"")</f>
        <v>0.37406228824886711</v>
      </c>
      <c r="D13" s="179">
        <f t="shared" ref="D13:D18" ca="1" si="0">IFERROR(INDIRECT($A13&amp;"!h19"),"")</f>
        <v>0.32077823260945232</v>
      </c>
      <c r="E13" s="232">
        <f ca="1">IFERROR(INDIRECT($A13&amp;"!h21"),"")</f>
        <v>13.471262698631989</v>
      </c>
      <c r="F13" s="232">
        <f ca="1">IFERROR(INDIRECT($A13&amp;"!e30"),"")</f>
        <v>5.3413598945121068</v>
      </c>
      <c r="G13" s="232">
        <f t="shared" ref="G13:G18" ca="1" si="1">IFERROR(INDIRECT($A13&amp;"!n24"),"")</f>
        <v>5.9950594864926039</v>
      </c>
      <c r="H13" s="180">
        <f t="shared" ref="H13:H19" ca="1" si="2">IFERROR(C13+N13,"")</f>
        <v>0.41402347494764524</v>
      </c>
      <c r="I13" s="181" t="s">
        <v>27</v>
      </c>
      <c r="J13" s="231">
        <v>0.1</v>
      </c>
      <c r="K13" s="231"/>
      <c r="L13" s="179">
        <f ca="1">IFERROR(INDIRECT($A13&amp;"!n18"),"")</f>
        <v>0.53390703504397963</v>
      </c>
      <c r="M13" s="179">
        <f t="shared" ref="M13:M22" ca="1" si="3">IFERROR(L13-C13,"")</f>
        <v>0.15984474679511251</v>
      </c>
      <c r="N13" s="231">
        <f t="shared" ref="N13:N19" ca="1" si="4">(L13-C13)/4</f>
        <v>3.9961186698778128E-2</v>
      </c>
      <c r="O13" s="179">
        <f ca="1">IFERROR(N13/M13,"")</f>
        <v>0.25</v>
      </c>
      <c r="P13" s="290">
        <f ca="1">IFERROR(INDIRECT($A13&amp;"!d15"),"")</f>
        <v>4928.2146789937397</v>
      </c>
    </row>
    <row r="14" spans="1:16" x14ac:dyDescent="0.25">
      <c r="A14" s="103">
        <v>2</v>
      </c>
      <c r="B14" s="182" t="str">
        <f>IF(ISNONTEXT(Landcover!B6),"",Landcover!B6)</f>
        <v>BIG BRANCH</v>
      </c>
      <c r="C14" s="179">
        <f ca="1">IFERROR(INDIRECT($A14&amp;"!h18"),"")</f>
        <v>0.65051417959443569</v>
      </c>
      <c r="D14" s="179">
        <f t="shared" ca="1" si="0"/>
        <v>0.14225128382317767</v>
      </c>
      <c r="E14" s="232">
        <f t="shared" ref="E14:E76" ca="1" si="5">IFERROR(INDIRECT($A14&amp;"!h21"),"")</f>
        <v>14.239072244073538</v>
      </c>
      <c r="F14" s="232">
        <f t="shared" ref="F14:F76" ca="1" si="6">IFERROR(INDIRECT($A14&amp;"!e30"),"")</f>
        <v>3.7853907539728247</v>
      </c>
      <c r="G14" s="232">
        <f t="shared" ca="1" si="1"/>
        <v>2.4876667095549596</v>
      </c>
      <c r="H14" s="180">
        <f t="shared" ca="1" si="2"/>
        <v>0.67906702345857806</v>
      </c>
      <c r="I14" s="181" t="s">
        <v>27</v>
      </c>
      <c r="J14" s="231">
        <v>0.1</v>
      </c>
      <c r="K14" s="231"/>
      <c r="L14" s="179">
        <f t="shared" ref="L14:L19" ca="1" si="7">IFERROR(INDIRECT($A14&amp;"!n18"),"")</f>
        <v>0.76472555505100503</v>
      </c>
      <c r="M14" s="179">
        <f t="shared" ca="1" si="3"/>
        <v>0.11421137545656934</v>
      </c>
      <c r="N14" s="231">
        <f t="shared" ca="1" si="4"/>
        <v>2.8552843864142335E-2</v>
      </c>
      <c r="O14" s="179">
        <f t="shared" ref="O14:O76" ca="1" si="8">IFERROR(N14/M14,"")</f>
        <v>0.25</v>
      </c>
      <c r="P14" s="289">
        <f t="shared" ref="P14:P76" ca="1" si="9">IFERROR(INDIRECT($A14&amp;"!d15"),"")</f>
        <v>2195.9413741655021</v>
      </c>
    </row>
    <row r="15" spans="1:16" x14ac:dyDescent="0.25">
      <c r="A15" s="103">
        <v>3</v>
      </c>
      <c r="B15" s="182" t="str">
        <f>IF(ISNONTEXT(Landcover!B7),"",Landcover!B7)</f>
        <v>CRABTREE CREEK</v>
      </c>
      <c r="C15" s="179">
        <f t="shared" ref="C15:C76" ca="1" si="10">IFERROR(INDIRECT($A15&amp;"!h18"),"")</f>
        <v>0.32618020802103276</v>
      </c>
      <c r="D15" s="179">
        <f t="shared" ca="1" si="0"/>
        <v>0.28305389635847883</v>
      </c>
      <c r="E15" s="232">
        <f t="shared" ca="1" si="5"/>
        <v>8.9798586387787968E-2</v>
      </c>
      <c r="F15" s="232">
        <f t="shared" ca="1" si="6"/>
        <v>4.3398021367990376E-2</v>
      </c>
      <c r="G15" s="232">
        <f t="shared" ca="1" si="1"/>
        <v>5.7885662564905391E-2</v>
      </c>
      <c r="H15" s="180">
        <f t="shared" ca="1" si="2"/>
        <v>0.37641255967343934</v>
      </c>
      <c r="I15" s="181" t="s">
        <v>27</v>
      </c>
      <c r="J15" s="231">
        <v>0.1</v>
      </c>
      <c r="K15" s="231"/>
      <c r="L15" s="179">
        <f t="shared" ca="1" si="7"/>
        <v>0.52710961463065897</v>
      </c>
      <c r="M15" s="179">
        <f t="shared" ca="1" si="3"/>
        <v>0.20092940660962622</v>
      </c>
      <c r="N15" s="231">
        <f t="shared" ca="1" si="4"/>
        <v>5.0232351652406554E-2</v>
      </c>
      <c r="O15" s="179">
        <f t="shared" ca="1" si="8"/>
        <v>0.25</v>
      </c>
      <c r="P15" s="289">
        <f t="shared" ca="1" si="9"/>
        <v>43.550419543716828</v>
      </c>
    </row>
    <row r="16" spans="1:16" x14ac:dyDescent="0.25">
      <c r="A16" s="103">
        <v>4</v>
      </c>
      <c r="B16" s="182" t="str">
        <f>IF(ISNONTEXT(Landcover!B8),"",Landcover!B8)</f>
        <v>MIDDLE CREEK</v>
      </c>
      <c r="C16" s="179">
        <f t="shared" ca="1" si="10"/>
        <v>0.36631567543789101</v>
      </c>
      <c r="D16" s="179">
        <f t="shared" ca="1" si="0"/>
        <v>0.35286666546295553</v>
      </c>
      <c r="E16" s="232">
        <f t="shared" ca="1" si="5"/>
        <v>3.4475562234185575</v>
      </c>
      <c r="F16" s="232">
        <f t="shared" ca="1" si="6"/>
        <v>1.714545152083859</v>
      </c>
      <c r="G16" s="232">
        <f t="shared" ca="1" si="1"/>
        <v>1.4063472152534007</v>
      </c>
      <c r="H16" s="180">
        <f t="shared" ca="1" si="2"/>
        <v>0.40147797947234776</v>
      </c>
      <c r="I16" s="181" t="s">
        <v>27</v>
      </c>
      <c r="J16" s="231">
        <v>0.1</v>
      </c>
      <c r="K16" s="231"/>
      <c r="L16" s="179">
        <f t="shared" ca="1" si="7"/>
        <v>0.50696489157571811</v>
      </c>
      <c r="M16" s="179">
        <f t="shared" ca="1" si="3"/>
        <v>0.1406492161378271</v>
      </c>
      <c r="N16" s="231">
        <f t="shared" ca="1" si="4"/>
        <v>3.5162304034456776E-2</v>
      </c>
      <c r="O16" s="179">
        <f t="shared" ca="1" si="8"/>
        <v>0.25</v>
      </c>
      <c r="P16" s="289">
        <f t="shared" ca="1" si="9"/>
        <v>1525.5849628021369</v>
      </c>
    </row>
    <row r="17" spans="1:16" x14ac:dyDescent="0.25">
      <c r="A17" s="103">
        <v>5</v>
      </c>
      <c r="B17" s="182" t="str">
        <f>IF(ISNONTEXT(Landcover!B9),"",Landcover!B9)</f>
        <v>SWIFT CREEK</v>
      </c>
      <c r="C17" s="179">
        <f t="shared" ca="1" si="10"/>
        <v>0.53962214142572629</v>
      </c>
      <c r="D17" s="179">
        <f t="shared" ca="1" si="0"/>
        <v>0.25328130676164018</v>
      </c>
      <c r="E17" s="232">
        <f t="shared" ca="1" si="5"/>
        <v>4.0057993530287339</v>
      </c>
      <c r="F17" s="232">
        <f t="shared" ca="1" si="6"/>
        <v>1.9372808622157847</v>
      </c>
      <c r="G17" s="232">
        <f t="shared" ca="1" si="1"/>
        <v>0.78077618106391977</v>
      </c>
      <c r="H17" s="180">
        <f t="shared" ca="1" si="2"/>
        <v>0.56453597988317694</v>
      </c>
      <c r="I17" s="181" t="s">
        <v>27</v>
      </c>
      <c r="J17" s="231">
        <v>0.1</v>
      </c>
      <c r="K17" s="231"/>
      <c r="L17" s="179">
        <f t="shared" ca="1" si="7"/>
        <v>0.63927749525552879</v>
      </c>
      <c r="M17" s="179">
        <f t="shared" ca="1" si="3"/>
        <v>9.9655353829802507E-2</v>
      </c>
      <c r="N17" s="231">
        <f t="shared" ca="1" si="4"/>
        <v>2.4913838457450627E-2</v>
      </c>
      <c r="O17" s="179">
        <f t="shared" ca="1" si="8"/>
        <v>0.25</v>
      </c>
      <c r="P17" s="289">
        <f t="shared" ca="1" si="9"/>
        <v>1124.3267180929079</v>
      </c>
    </row>
    <row r="18" spans="1:16" x14ac:dyDescent="0.25">
      <c r="A18" s="103">
        <v>6</v>
      </c>
      <c r="B18" s="182" t="str">
        <f>IF(ISNONTEXT(Landcover!B10),"",Landcover!B10)</f>
        <v>WHITE OAK CREEK</v>
      </c>
      <c r="C18" s="179">
        <f t="shared" ca="1" si="10"/>
        <v>0.65517679019352348</v>
      </c>
      <c r="D18" s="179">
        <f t="shared" ca="1" si="0"/>
        <v>4.0887654300096186E-2</v>
      </c>
      <c r="E18" s="232">
        <f t="shared" ca="1" si="5"/>
        <v>2.7884995877445635</v>
      </c>
      <c r="F18" s="232">
        <f t="shared" ca="1" si="6"/>
        <v>0.63581375654491601</v>
      </c>
      <c r="G18" s="232">
        <f t="shared" ca="1" si="1"/>
        <v>0.83885675811640414</v>
      </c>
      <c r="H18" s="180">
        <f t="shared" ca="1" si="2"/>
        <v>0.7046258788092582</v>
      </c>
      <c r="I18" s="181" t="s">
        <v>27</v>
      </c>
      <c r="J18" s="231">
        <v>0.1</v>
      </c>
      <c r="K18" s="231"/>
      <c r="L18" s="179">
        <f t="shared" ca="1" si="7"/>
        <v>0.85297314465646235</v>
      </c>
      <c r="M18" s="179">
        <f t="shared" ca="1" si="3"/>
        <v>0.19779635446293886</v>
      </c>
      <c r="N18" s="231">
        <f t="shared" ca="1" si="4"/>
        <v>4.9449088615734715E-2</v>
      </c>
      <c r="O18" s="179">
        <f t="shared" ca="1" si="8"/>
        <v>0.25</v>
      </c>
      <c r="P18" s="289">
        <f t="shared" ca="1" si="9"/>
        <v>393.99386976244449</v>
      </c>
    </row>
    <row r="19" spans="1:16" x14ac:dyDescent="0.25">
      <c r="A19" s="103">
        <v>7</v>
      </c>
      <c r="B19" s="182" t="str">
        <f>IF(ISNONTEXT(Landcover!B11),"",Landcover!B11)</f>
        <v>WILLIAMS CREEK</v>
      </c>
      <c r="C19" s="179">
        <f t="shared" ca="1" si="10"/>
        <v>0.38157940270023488</v>
      </c>
      <c r="D19" s="179">
        <f t="shared" ref="D19:D76" ca="1" si="11">IFERROR(INDIRECT($A19&amp;"!h19"),"")</f>
        <v>0.32814312169901327</v>
      </c>
      <c r="E19" s="232">
        <f t="shared" ca="1" si="5"/>
        <v>1.7359530907515244</v>
      </c>
      <c r="F19" s="232">
        <f t="shared" ca="1" si="6"/>
        <v>0.86696079613114063</v>
      </c>
      <c r="G19" s="232">
        <f t="shared" ref="G19:G76" ca="1" si="12">IFERROR(INDIRECT($A19&amp;"!n24"),"")</f>
        <v>0.66675842180561151</v>
      </c>
      <c r="H19" s="180">
        <f t="shared" ca="1" si="2"/>
        <v>0.41586289481212968</v>
      </c>
      <c r="I19" s="181" t="s">
        <v>27</v>
      </c>
      <c r="J19" s="231">
        <v>0.1</v>
      </c>
      <c r="K19" s="231"/>
      <c r="L19" s="179">
        <f t="shared" ca="1" si="7"/>
        <v>0.51871337114781402</v>
      </c>
      <c r="M19" s="179">
        <f t="shared" ca="1" si="3"/>
        <v>0.13713396844757914</v>
      </c>
      <c r="N19" s="231">
        <f t="shared" ca="1" si="4"/>
        <v>3.4283492111894784E-2</v>
      </c>
      <c r="O19" s="179">
        <f t="shared" ca="1" si="8"/>
        <v>0.25</v>
      </c>
      <c r="P19" s="289">
        <f t="shared" ca="1" si="9"/>
        <v>766.37747193538917</v>
      </c>
    </row>
    <row r="20" spans="1:16" x14ac:dyDescent="0.25">
      <c r="A20" s="103">
        <v>8</v>
      </c>
      <c r="B20" s="182" t="str">
        <f>IF(ISNONTEXT(Landcover!B12),"",Landcover!B12)</f>
        <v/>
      </c>
      <c r="C20" s="179" t="str">
        <f t="shared" ca="1" si="10"/>
        <v/>
      </c>
      <c r="D20" s="179" t="str">
        <f t="shared" ca="1" si="11"/>
        <v/>
      </c>
      <c r="E20" s="232" t="str">
        <f t="shared" ca="1" si="5"/>
        <v/>
      </c>
      <c r="F20" s="232" t="str">
        <f t="shared" ca="1" si="6"/>
        <v/>
      </c>
      <c r="G20" s="232" t="str">
        <f t="shared" ca="1" si="12"/>
        <v/>
      </c>
      <c r="H20" s="180" t="str">
        <f t="shared" ref="H20:H76" ca="1" si="13">IFERROR(C20+N20,"")</f>
        <v/>
      </c>
      <c r="I20" s="181"/>
      <c r="J20" s="231"/>
      <c r="K20" s="231"/>
      <c r="L20" s="66" t="str">
        <f>IFERROR(SUM(VLOOKUP(A20,LANDCOVERPOT,3),VLOOKUP(A20,LANDCOVERPOT,4),VLOOKUP(A20,LANDCOVERPOT,9),VLOOKUP(A20,LANDCOVERPOT,10))/VLOOKUP(A20,LANDCOVERPOT,12),"")</f>
        <v/>
      </c>
      <c r="M20" s="179" t="str">
        <f t="shared" ca="1" si="3"/>
        <v/>
      </c>
      <c r="N20" s="231"/>
      <c r="O20" s="179" t="str">
        <f t="shared" ca="1" si="8"/>
        <v/>
      </c>
      <c r="P20" s="289" t="str">
        <f t="shared" ca="1" si="9"/>
        <v/>
      </c>
    </row>
    <row r="21" spans="1:16" x14ac:dyDescent="0.25">
      <c r="A21" s="103">
        <v>9</v>
      </c>
      <c r="B21" s="182" t="str">
        <f>IF(ISNONTEXT(Landcover!B13),"",Landcover!B13)</f>
        <v/>
      </c>
      <c r="C21" s="179" t="str">
        <f t="shared" ca="1" si="10"/>
        <v/>
      </c>
      <c r="D21" s="179" t="str">
        <f t="shared" ca="1" si="11"/>
        <v/>
      </c>
      <c r="E21" s="232" t="str">
        <f t="shared" ca="1" si="5"/>
        <v/>
      </c>
      <c r="F21" s="232" t="str">
        <f t="shared" ca="1" si="6"/>
        <v/>
      </c>
      <c r="G21" s="232" t="str">
        <f t="shared" ca="1" si="12"/>
        <v/>
      </c>
      <c r="H21" s="180" t="str">
        <f t="shared" ca="1" si="13"/>
        <v/>
      </c>
      <c r="I21" s="181"/>
      <c r="J21" s="231"/>
      <c r="K21" s="231"/>
      <c r="L21" s="66"/>
      <c r="M21" s="179" t="str">
        <f t="shared" ca="1" si="3"/>
        <v/>
      </c>
      <c r="N21" s="231"/>
      <c r="O21" s="179" t="str">
        <f t="shared" ca="1" si="8"/>
        <v/>
      </c>
      <c r="P21" s="289" t="str">
        <f t="shared" ca="1" si="9"/>
        <v/>
      </c>
    </row>
    <row r="22" spans="1:16" x14ac:dyDescent="0.25">
      <c r="A22" s="103">
        <v>10</v>
      </c>
      <c r="B22" s="182" t="str">
        <f>IF(ISNONTEXT(Landcover!B14),"",Landcover!B14)</f>
        <v/>
      </c>
      <c r="C22" s="179" t="str">
        <f t="shared" ca="1" si="10"/>
        <v/>
      </c>
      <c r="D22" s="179" t="str">
        <f t="shared" ca="1" si="11"/>
        <v/>
      </c>
      <c r="E22" s="232" t="str">
        <f t="shared" ca="1" si="5"/>
        <v/>
      </c>
      <c r="F22" s="232" t="str">
        <f t="shared" ca="1" si="6"/>
        <v/>
      </c>
      <c r="G22" s="232" t="str">
        <f t="shared" ca="1" si="12"/>
        <v/>
      </c>
      <c r="H22" s="180" t="str">
        <f t="shared" ca="1" si="13"/>
        <v/>
      </c>
      <c r="I22" s="181"/>
      <c r="J22" s="231"/>
      <c r="K22" s="231"/>
      <c r="L22" s="66"/>
      <c r="M22" s="179" t="str">
        <f t="shared" ca="1" si="3"/>
        <v/>
      </c>
      <c r="N22" s="231"/>
      <c r="O22" s="179" t="str">
        <f t="shared" ca="1" si="8"/>
        <v/>
      </c>
      <c r="P22" s="289" t="str">
        <f t="shared" ca="1" si="9"/>
        <v/>
      </c>
    </row>
    <row r="23" spans="1:16" x14ac:dyDescent="0.25">
      <c r="A23" s="103">
        <v>11</v>
      </c>
      <c r="B23" s="182" t="str">
        <f>IF(ISNONTEXT(Landcover!B15),"",Landcover!B15)</f>
        <v/>
      </c>
      <c r="C23" s="179" t="str">
        <f t="shared" ca="1" si="10"/>
        <v/>
      </c>
      <c r="D23" s="179" t="str">
        <f t="shared" ca="1" si="11"/>
        <v/>
      </c>
      <c r="E23" s="232" t="str">
        <f t="shared" ca="1" si="5"/>
        <v/>
      </c>
      <c r="F23" s="232" t="str">
        <f t="shared" ca="1" si="6"/>
        <v/>
      </c>
      <c r="G23" s="232" t="str">
        <f t="shared" ca="1" si="12"/>
        <v/>
      </c>
      <c r="H23" s="180" t="str">
        <f t="shared" ca="1" si="13"/>
        <v/>
      </c>
      <c r="I23" s="181"/>
      <c r="J23" s="231"/>
      <c r="K23" s="231"/>
      <c r="L23" s="66"/>
      <c r="M23" s="66"/>
      <c r="N23" s="231"/>
      <c r="O23" s="179" t="str">
        <f t="shared" si="8"/>
        <v/>
      </c>
      <c r="P23" s="289" t="str">
        <f t="shared" ca="1" si="9"/>
        <v/>
      </c>
    </row>
    <row r="24" spans="1:16" x14ac:dyDescent="0.25">
      <c r="A24" s="103">
        <v>12</v>
      </c>
      <c r="B24" s="182" t="str">
        <f>IF(ISNONTEXT(Landcover!B16),"",Landcover!B16)</f>
        <v/>
      </c>
      <c r="C24" s="179" t="str">
        <f t="shared" ca="1" si="10"/>
        <v/>
      </c>
      <c r="D24" s="179" t="str">
        <f t="shared" ca="1" si="11"/>
        <v/>
      </c>
      <c r="E24" s="232" t="str">
        <f t="shared" ca="1" si="5"/>
        <v/>
      </c>
      <c r="F24" s="232" t="str">
        <f t="shared" ca="1" si="6"/>
        <v/>
      </c>
      <c r="G24" s="232" t="str">
        <f t="shared" ca="1" si="12"/>
        <v/>
      </c>
      <c r="H24" s="180" t="str">
        <f t="shared" ca="1" si="13"/>
        <v/>
      </c>
      <c r="I24" s="181"/>
      <c r="J24" s="231"/>
      <c r="K24" s="231"/>
      <c r="L24" s="66"/>
      <c r="M24" s="66"/>
      <c r="N24" s="231"/>
      <c r="O24" s="179" t="str">
        <f t="shared" si="8"/>
        <v/>
      </c>
      <c r="P24" s="289" t="str">
        <f t="shared" ca="1" si="9"/>
        <v/>
      </c>
    </row>
    <row r="25" spans="1:16" x14ac:dyDescent="0.25">
      <c r="A25" s="103">
        <v>13</v>
      </c>
      <c r="B25" s="182" t="str">
        <f>IF(ISNONTEXT(Landcover!B17),"",Landcover!B17)</f>
        <v/>
      </c>
      <c r="C25" s="179" t="str">
        <f t="shared" ca="1" si="10"/>
        <v/>
      </c>
      <c r="D25" s="179" t="str">
        <f t="shared" ca="1" si="11"/>
        <v/>
      </c>
      <c r="E25" s="232" t="str">
        <f t="shared" ca="1" si="5"/>
        <v/>
      </c>
      <c r="F25" s="232" t="str">
        <f t="shared" ca="1" si="6"/>
        <v/>
      </c>
      <c r="G25" s="232" t="str">
        <f t="shared" ca="1" si="12"/>
        <v/>
      </c>
      <c r="H25" s="180" t="str">
        <f t="shared" ca="1" si="13"/>
        <v/>
      </c>
      <c r="I25" s="181"/>
      <c r="J25" s="231"/>
      <c r="K25" s="231"/>
      <c r="L25" s="66"/>
      <c r="M25" s="66"/>
      <c r="N25" s="231"/>
      <c r="O25" s="179" t="str">
        <f t="shared" si="8"/>
        <v/>
      </c>
      <c r="P25" s="289" t="str">
        <f t="shared" ca="1" si="9"/>
        <v/>
      </c>
    </row>
    <row r="26" spans="1:16" x14ac:dyDescent="0.25">
      <c r="A26" s="103">
        <v>14</v>
      </c>
      <c r="B26" s="182" t="str">
        <f>IF(ISNONTEXT(Landcover!B18),"",Landcover!B18)</f>
        <v/>
      </c>
      <c r="C26" s="179" t="str">
        <f t="shared" ca="1" si="10"/>
        <v/>
      </c>
      <c r="D26" s="179" t="str">
        <f t="shared" ca="1" si="11"/>
        <v/>
      </c>
      <c r="E26" s="232" t="str">
        <f t="shared" ca="1" si="5"/>
        <v/>
      </c>
      <c r="F26" s="232" t="str">
        <f t="shared" ca="1" si="6"/>
        <v/>
      </c>
      <c r="G26" s="232" t="str">
        <f t="shared" ca="1" si="12"/>
        <v/>
      </c>
      <c r="H26" s="180" t="str">
        <f t="shared" ca="1" si="13"/>
        <v/>
      </c>
      <c r="I26" s="181"/>
      <c r="J26" s="231"/>
      <c r="K26" s="231"/>
      <c r="L26" s="66"/>
      <c r="M26" s="66"/>
      <c r="N26" s="231"/>
      <c r="O26" s="179" t="str">
        <f t="shared" si="8"/>
        <v/>
      </c>
      <c r="P26" s="289" t="str">
        <f t="shared" ca="1" si="9"/>
        <v/>
      </c>
    </row>
    <row r="27" spans="1:16" x14ac:dyDescent="0.25">
      <c r="A27" s="103">
        <v>15</v>
      </c>
      <c r="B27" s="182" t="str">
        <f>IF(ISNONTEXT(Landcover!B19),"",Landcover!B19)</f>
        <v/>
      </c>
      <c r="C27" s="179" t="str">
        <f t="shared" ca="1" si="10"/>
        <v/>
      </c>
      <c r="D27" s="179" t="str">
        <f t="shared" ca="1" si="11"/>
        <v/>
      </c>
      <c r="E27" s="232" t="str">
        <f t="shared" ca="1" si="5"/>
        <v/>
      </c>
      <c r="F27" s="232" t="str">
        <f t="shared" ca="1" si="6"/>
        <v/>
      </c>
      <c r="G27" s="232" t="str">
        <f t="shared" ca="1" si="12"/>
        <v/>
      </c>
      <c r="H27" s="180" t="str">
        <f t="shared" ca="1" si="13"/>
        <v/>
      </c>
      <c r="I27" s="181"/>
      <c r="J27" s="231"/>
      <c r="K27" s="231"/>
      <c r="L27" s="66"/>
      <c r="M27" s="66"/>
      <c r="N27" s="231"/>
      <c r="O27" s="179" t="str">
        <f t="shared" si="8"/>
        <v/>
      </c>
      <c r="P27" s="289" t="str">
        <f t="shared" ca="1" si="9"/>
        <v/>
      </c>
    </row>
    <row r="28" spans="1:16" x14ac:dyDescent="0.25">
      <c r="A28" s="103">
        <v>16</v>
      </c>
      <c r="B28" s="182" t="str">
        <f>IF(ISNONTEXT(Landcover!B20),"",Landcover!B20)</f>
        <v/>
      </c>
      <c r="C28" s="179" t="str">
        <f t="shared" ca="1" si="10"/>
        <v/>
      </c>
      <c r="D28" s="179" t="str">
        <f t="shared" ca="1" si="11"/>
        <v/>
      </c>
      <c r="E28" s="232" t="str">
        <f t="shared" ca="1" si="5"/>
        <v/>
      </c>
      <c r="F28" s="232" t="str">
        <f t="shared" ca="1" si="6"/>
        <v/>
      </c>
      <c r="G28" s="232" t="str">
        <f t="shared" ca="1" si="12"/>
        <v/>
      </c>
      <c r="H28" s="180" t="str">
        <f t="shared" ca="1" si="13"/>
        <v/>
      </c>
      <c r="I28" s="181"/>
      <c r="J28" s="231"/>
      <c r="K28" s="231"/>
      <c r="L28" s="66"/>
      <c r="M28" s="66"/>
      <c r="N28" s="231"/>
      <c r="O28" s="179" t="str">
        <f t="shared" si="8"/>
        <v/>
      </c>
      <c r="P28" s="289" t="str">
        <f t="shared" ca="1" si="9"/>
        <v/>
      </c>
    </row>
    <row r="29" spans="1:16" x14ac:dyDescent="0.25">
      <c r="A29" s="103">
        <v>17</v>
      </c>
      <c r="B29" s="182" t="str">
        <f>IF(ISNONTEXT(Landcover!B21),"",Landcover!B21)</f>
        <v/>
      </c>
      <c r="C29" s="179" t="str">
        <f t="shared" ca="1" si="10"/>
        <v/>
      </c>
      <c r="D29" s="179" t="str">
        <f t="shared" ca="1" si="11"/>
        <v/>
      </c>
      <c r="E29" s="232" t="str">
        <f t="shared" ca="1" si="5"/>
        <v/>
      </c>
      <c r="F29" s="232" t="str">
        <f t="shared" ca="1" si="6"/>
        <v/>
      </c>
      <c r="G29" s="232" t="str">
        <f t="shared" ca="1" si="12"/>
        <v/>
      </c>
      <c r="H29" s="180" t="str">
        <f t="shared" ca="1" si="13"/>
        <v/>
      </c>
      <c r="I29" s="181"/>
      <c r="J29" s="231"/>
      <c r="K29" s="231"/>
      <c r="L29" s="66"/>
      <c r="M29" s="66"/>
      <c r="N29" s="231"/>
      <c r="O29" s="179" t="str">
        <f t="shared" si="8"/>
        <v/>
      </c>
      <c r="P29" s="289" t="str">
        <f t="shared" ca="1" si="9"/>
        <v/>
      </c>
    </row>
    <row r="30" spans="1:16" x14ac:dyDescent="0.25">
      <c r="A30" s="103">
        <v>18</v>
      </c>
      <c r="B30" s="182" t="str">
        <f>IF(ISNONTEXT(Landcover!B22),"",Landcover!B22)</f>
        <v/>
      </c>
      <c r="C30" s="179" t="str">
        <f t="shared" ca="1" si="10"/>
        <v/>
      </c>
      <c r="D30" s="179" t="str">
        <f t="shared" ca="1" si="11"/>
        <v/>
      </c>
      <c r="E30" s="232" t="str">
        <f t="shared" ca="1" si="5"/>
        <v/>
      </c>
      <c r="F30" s="232" t="str">
        <f t="shared" ca="1" si="6"/>
        <v/>
      </c>
      <c r="G30" s="232" t="str">
        <f t="shared" ca="1" si="12"/>
        <v/>
      </c>
      <c r="H30" s="180" t="str">
        <f t="shared" ca="1" si="13"/>
        <v/>
      </c>
      <c r="I30" s="181"/>
      <c r="J30" s="231"/>
      <c r="K30" s="231"/>
      <c r="L30" s="66"/>
      <c r="M30" s="66"/>
      <c r="N30" s="231"/>
      <c r="O30" s="179" t="str">
        <f t="shared" si="8"/>
        <v/>
      </c>
      <c r="P30" s="289" t="str">
        <f t="shared" ca="1" si="9"/>
        <v/>
      </c>
    </row>
    <row r="31" spans="1:16" x14ac:dyDescent="0.25">
      <c r="A31" s="103">
        <v>19</v>
      </c>
      <c r="B31" s="182" t="str">
        <f>IF(ISNONTEXT(Landcover!B23),"",Landcover!B23)</f>
        <v/>
      </c>
      <c r="C31" s="179" t="str">
        <f t="shared" ca="1" si="10"/>
        <v/>
      </c>
      <c r="D31" s="179" t="str">
        <f t="shared" ca="1" si="11"/>
        <v/>
      </c>
      <c r="E31" s="232" t="str">
        <f t="shared" ca="1" si="5"/>
        <v/>
      </c>
      <c r="F31" s="232" t="str">
        <f t="shared" ca="1" si="6"/>
        <v/>
      </c>
      <c r="G31" s="232" t="str">
        <f t="shared" ca="1" si="12"/>
        <v/>
      </c>
      <c r="H31" s="180" t="str">
        <f t="shared" ca="1" si="13"/>
        <v/>
      </c>
      <c r="I31" s="181"/>
      <c r="J31" s="231"/>
      <c r="K31" s="231"/>
      <c r="L31" s="66"/>
      <c r="M31" s="66"/>
      <c r="N31" s="231"/>
      <c r="O31" s="179" t="str">
        <f t="shared" si="8"/>
        <v/>
      </c>
      <c r="P31" s="289" t="str">
        <f t="shared" ca="1" si="9"/>
        <v/>
      </c>
    </row>
    <row r="32" spans="1:16" x14ac:dyDescent="0.25">
      <c r="A32" s="103">
        <v>20</v>
      </c>
      <c r="B32" s="182" t="str">
        <f>IF(ISNONTEXT(Landcover!B24),"",Landcover!B24)</f>
        <v/>
      </c>
      <c r="C32" s="179" t="str">
        <f t="shared" ca="1" si="10"/>
        <v/>
      </c>
      <c r="D32" s="179" t="str">
        <f t="shared" ca="1" si="11"/>
        <v/>
      </c>
      <c r="E32" s="232" t="str">
        <f t="shared" ca="1" si="5"/>
        <v/>
      </c>
      <c r="F32" s="232" t="str">
        <f t="shared" ca="1" si="6"/>
        <v/>
      </c>
      <c r="G32" s="232" t="str">
        <f t="shared" ca="1" si="12"/>
        <v/>
      </c>
      <c r="H32" s="180" t="str">
        <f t="shared" ca="1" si="13"/>
        <v/>
      </c>
      <c r="I32" s="181"/>
      <c r="J32" s="231"/>
      <c r="K32" s="231"/>
      <c r="L32" s="66"/>
      <c r="M32" s="66"/>
      <c r="N32" s="231"/>
      <c r="O32" s="179" t="str">
        <f t="shared" si="8"/>
        <v/>
      </c>
      <c r="P32" s="289" t="str">
        <f t="shared" ca="1" si="9"/>
        <v/>
      </c>
    </row>
    <row r="33" spans="1:16" x14ac:dyDescent="0.25">
      <c r="A33" s="103">
        <v>21</v>
      </c>
      <c r="B33" s="182" t="str">
        <f>IF(ISNONTEXT(Landcover!B25),"",Landcover!B25)</f>
        <v/>
      </c>
      <c r="C33" s="179" t="str">
        <f t="shared" ca="1" si="10"/>
        <v/>
      </c>
      <c r="D33" s="179" t="str">
        <f t="shared" ca="1" si="11"/>
        <v/>
      </c>
      <c r="E33" s="232" t="str">
        <f t="shared" ca="1" si="5"/>
        <v/>
      </c>
      <c r="F33" s="232" t="str">
        <f t="shared" ca="1" si="6"/>
        <v/>
      </c>
      <c r="G33" s="232" t="str">
        <f t="shared" ca="1" si="12"/>
        <v/>
      </c>
      <c r="H33" s="180" t="str">
        <f t="shared" ca="1" si="13"/>
        <v/>
      </c>
      <c r="I33" s="181"/>
      <c r="J33" s="231"/>
      <c r="K33" s="231"/>
      <c r="L33" s="66"/>
      <c r="M33" s="66"/>
      <c r="N33" s="231"/>
      <c r="O33" s="179" t="str">
        <f t="shared" si="8"/>
        <v/>
      </c>
      <c r="P33" s="289" t="str">
        <f t="shared" ca="1" si="9"/>
        <v/>
      </c>
    </row>
    <row r="34" spans="1:16" x14ac:dyDescent="0.25">
      <c r="A34" s="103">
        <v>22</v>
      </c>
      <c r="B34" s="182" t="str">
        <f>IF(ISNONTEXT(Landcover!B26),"",Landcover!B26)</f>
        <v/>
      </c>
      <c r="C34" s="179" t="str">
        <f t="shared" ca="1" si="10"/>
        <v/>
      </c>
      <c r="D34" s="179" t="str">
        <f t="shared" ca="1" si="11"/>
        <v/>
      </c>
      <c r="E34" s="232" t="str">
        <f t="shared" ca="1" si="5"/>
        <v/>
      </c>
      <c r="F34" s="232" t="str">
        <f t="shared" ca="1" si="6"/>
        <v/>
      </c>
      <c r="G34" s="232" t="str">
        <f t="shared" ca="1" si="12"/>
        <v/>
      </c>
      <c r="H34" s="180" t="str">
        <f t="shared" ca="1" si="13"/>
        <v/>
      </c>
      <c r="I34" s="181"/>
      <c r="J34" s="231"/>
      <c r="K34" s="231"/>
      <c r="L34" s="66"/>
      <c r="M34" s="66"/>
      <c r="N34" s="231"/>
      <c r="O34" s="179" t="str">
        <f t="shared" si="8"/>
        <v/>
      </c>
      <c r="P34" s="289" t="str">
        <f t="shared" ca="1" si="9"/>
        <v/>
      </c>
    </row>
    <row r="35" spans="1:16" x14ac:dyDescent="0.25">
      <c r="A35" s="103">
        <v>23</v>
      </c>
      <c r="B35" s="182" t="str">
        <f>IF(ISNONTEXT(Landcover!B27),"",Landcover!B27)</f>
        <v/>
      </c>
      <c r="C35" s="179" t="str">
        <f t="shared" ca="1" si="10"/>
        <v/>
      </c>
      <c r="D35" s="179" t="str">
        <f t="shared" ca="1" si="11"/>
        <v/>
      </c>
      <c r="E35" s="232" t="str">
        <f t="shared" ca="1" si="5"/>
        <v/>
      </c>
      <c r="F35" s="232" t="str">
        <f t="shared" ca="1" si="6"/>
        <v/>
      </c>
      <c r="G35" s="232" t="str">
        <f t="shared" ca="1" si="12"/>
        <v/>
      </c>
      <c r="H35" s="180" t="str">
        <f t="shared" ca="1" si="13"/>
        <v/>
      </c>
      <c r="I35" s="181"/>
      <c r="J35" s="231"/>
      <c r="K35" s="231"/>
      <c r="L35" s="66"/>
      <c r="M35" s="66"/>
      <c r="N35" s="231"/>
      <c r="O35" s="179" t="str">
        <f t="shared" si="8"/>
        <v/>
      </c>
      <c r="P35" s="289" t="str">
        <f t="shared" ca="1" si="9"/>
        <v/>
      </c>
    </row>
    <row r="36" spans="1:16" x14ac:dyDescent="0.25">
      <c r="A36" s="103">
        <v>24</v>
      </c>
      <c r="B36" s="182" t="str">
        <f>IF(ISNONTEXT(Landcover!B28),"",Landcover!B28)</f>
        <v/>
      </c>
      <c r="C36" s="179" t="str">
        <f t="shared" ca="1" si="10"/>
        <v/>
      </c>
      <c r="D36" s="179" t="str">
        <f t="shared" ca="1" si="11"/>
        <v/>
      </c>
      <c r="E36" s="232" t="str">
        <f t="shared" ca="1" si="5"/>
        <v/>
      </c>
      <c r="F36" s="232" t="str">
        <f t="shared" ca="1" si="6"/>
        <v/>
      </c>
      <c r="G36" s="232" t="str">
        <f t="shared" ca="1" si="12"/>
        <v/>
      </c>
      <c r="H36" s="180" t="str">
        <f t="shared" ca="1" si="13"/>
        <v/>
      </c>
      <c r="I36" s="181"/>
      <c r="J36" s="231"/>
      <c r="K36" s="231"/>
      <c r="L36" s="66"/>
      <c r="M36" s="66"/>
      <c r="N36" s="231"/>
      <c r="O36" s="179" t="str">
        <f t="shared" si="8"/>
        <v/>
      </c>
      <c r="P36" s="289" t="str">
        <f t="shared" ca="1" si="9"/>
        <v/>
      </c>
    </row>
    <row r="37" spans="1:16" x14ac:dyDescent="0.25">
      <c r="A37" s="103">
        <v>25</v>
      </c>
      <c r="B37" s="182" t="str">
        <f>IF(ISNONTEXT(Landcover!B29),"",Landcover!B29)</f>
        <v/>
      </c>
      <c r="C37" s="179" t="str">
        <f t="shared" ca="1" si="10"/>
        <v/>
      </c>
      <c r="D37" s="179" t="str">
        <f t="shared" ca="1" si="11"/>
        <v/>
      </c>
      <c r="E37" s="232" t="str">
        <f t="shared" ca="1" si="5"/>
        <v/>
      </c>
      <c r="F37" s="232" t="str">
        <f t="shared" ca="1" si="6"/>
        <v/>
      </c>
      <c r="G37" s="232" t="str">
        <f t="shared" ca="1" si="12"/>
        <v/>
      </c>
      <c r="H37" s="180" t="str">
        <f t="shared" ca="1" si="13"/>
        <v/>
      </c>
      <c r="I37" s="181"/>
      <c r="J37" s="231"/>
      <c r="K37" s="231"/>
      <c r="L37" s="66"/>
      <c r="M37" s="66"/>
      <c r="N37" s="231"/>
      <c r="O37" s="179" t="str">
        <f t="shared" si="8"/>
        <v/>
      </c>
      <c r="P37" s="289" t="str">
        <f t="shared" ca="1" si="9"/>
        <v/>
      </c>
    </row>
    <row r="38" spans="1:16" x14ac:dyDescent="0.25">
      <c r="A38" s="103">
        <v>26</v>
      </c>
      <c r="B38" s="182" t="str">
        <f>IF(ISNONTEXT(Landcover!B30),"",Landcover!B30)</f>
        <v/>
      </c>
      <c r="C38" s="179" t="str">
        <f t="shared" ca="1" si="10"/>
        <v/>
      </c>
      <c r="D38" s="179" t="str">
        <f t="shared" ca="1" si="11"/>
        <v/>
      </c>
      <c r="E38" s="232" t="str">
        <f t="shared" ca="1" si="5"/>
        <v/>
      </c>
      <c r="F38" s="232" t="str">
        <f t="shared" ca="1" si="6"/>
        <v/>
      </c>
      <c r="G38" s="232" t="str">
        <f t="shared" ca="1" si="12"/>
        <v/>
      </c>
      <c r="H38" s="180" t="str">
        <f t="shared" ca="1" si="13"/>
        <v/>
      </c>
      <c r="I38" s="181"/>
      <c r="J38" s="231"/>
      <c r="K38" s="231"/>
      <c r="L38" s="66"/>
      <c r="M38" s="66"/>
      <c r="N38" s="231"/>
      <c r="O38" s="179" t="str">
        <f t="shared" si="8"/>
        <v/>
      </c>
      <c r="P38" s="289" t="str">
        <f t="shared" ca="1" si="9"/>
        <v/>
      </c>
    </row>
    <row r="39" spans="1:16" x14ac:dyDescent="0.25">
      <c r="A39" s="103">
        <v>27</v>
      </c>
      <c r="B39" s="182" t="str">
        <f>IF(ISNONTEXT(Landcover!B31),"",Landcover!B31)</f>
        <v/>
      </c>
      <c r="C39" s="179" t="str">
        <f t="shared" ca="1" si="10"/>
        <v/>
      </c>
      <c r="D39" s="179" t="str">
        <f t="shared" ca="1" si="11"/>
        <v/>
      </c>
      <c r="E39" s="232" t="str">
        <f t="shared" ca="1" si="5"/>
        <v/>
      </c>
      <c r="F39" s="232" t="str">
        <f t="shared" ca="1" si="6"/>
        <v/>
      </c>
      <c r="G39" s="232" t="str">
        <f t="shared" ca="1" si="12"/>
        <v/>
      </c>
      <c r="H39" s="180" t="str">
        <f t="shared" ca="1" si="13"/>
        <v/>
      </c>
      <c r="I39" s="181"/>
      <c r="J39" s="231"/>
      <c r="K39" s="231"/>
      <c r="L39" s="66"/>
      <c r="M39" s="66"/>
      <c r="N39" s="231"/>
      <c r="O39" s="179" t="str">
        <f t="shared" si="8"/>
        <v/>
      </c>
      <c r="P39" s="289" t="str">
        <f t="shared" ca="1" si="9"/>
        <v/>
      </c>
    </row>
    <row r="40" spans="1:16" x14ac:dyDescent="0.25">
      <c r="A40" s="103">
        <v>28</v>
      </c>
      <c r="B40" s="182" t="str">
        <f>IF(ISNONTEXT(Landcover!B32),"",Landcover!B32)</f>
        <v/>
      </c>
      <c r="C40" s="179" t="str">
        <f t="shared" ca="1" si="10"/>
        <v/>
      </c>
      <c r="D40" s="179" t="str">
        <f t="shared" ca="1" si="11"/>
        <v/>
      </c>
      <c r="E40" s="232" t="str">
        <f t="shared" ca="1" si="5"/>
        <v/>
      </c>
      <c r="F40" s="232" t="str">
        <f t="shared" ca="1" si="6"/>
        <v/>
      </c>
      <c r="G40" s="232" t="str">
        <f t="shared" ca="1" si="12"/>
        <v/>
      </c>
      <c r="H40" s="180" t="str">
        <f t="shared" ca="1" si="13"/>
        <v/>
      </c>
      <c r="I40" s="181"/>
      <c r="J40" s="231"/>
      <c r="K40" s="231"/>
      <c r="L40" s="66"/>
      <c r="M40" s="66"/>
      <c r="N40" s="231"/>
      <c r="O40" s="179" t="str">
        <f t="shared" si="8"/>
        <v/>
      </c>
      <c r="P40" s="289" t="str">
        <f t="shared" ca="1" si="9"/>
        <v/>
      </c>
    </row>
    <row r="41" spans="1:16" x14ac:dyDescent="0.25">
      <c r="A41" s="103">
        <v>29</v>
      </c>
      <c r="B41" s="182" t="str">
        <f>IF(ISNONTEXT(Landcover!B33),"",Landcover!B33)</f>
        <v/>
      </c>
      <c r="C41" s="179" t="str">
        <f t="shared" ca="1" si="10"/>
        <v/>
      </c>
      <c r="D41" s="179" t="str">
        <f t="shared" ca="1" si="11"/>
        <v/>
      </c>
      <c r="E41" s="232" t="str">
        <f t="shared" ca="1" si="5"/>
        <v/>
      </c>
      <c r="F41" s="232" t="str">
        <f t="shared" ca="1" si="6"/>
        <v/>
      </c>
      <c r="G41" s="232" t="str">
        <f t="shared" ca="1" si="12"/>
        <v/>
      </c>
      <c r="H41" s="180" t="str">
        <f t="shared" ca="1" si="13"/>
        <v/>
      </c>
      <c r="I41" s="181"/>
      <c r="J41" s="231"/>
      <c r="K41" s="231"/>
      <c r="L41" s="66"/>
      <c r="M41" s="66"/>
      <c r="N41" s="231"/>
      <c r="O41" s="179" t="str">
        <f t="shared" si="8"/>
        <v/>
      </c>
      <c r="P41" s="289" t="str">
        <f t="shared" ca="1" si="9"/>
        <v/>
      </c>
    </row>
    <row r="42" spans="1:16" x14ac:dyDescent="0.25">
      <c r="A42" s="103">
        <v>30</v>
      </c>
      <c r="B42" s="182" t="str">
        <f>IF(ISNONTEXT(Landcover!B34),"",Landcover!B34)</f>
        <v/>
      </c>
      <c r="C42" s="179" t="str">
        <f t="shared" ca="1" si="10"/>
        <v/>
      </c>
      <c r="D42" s="179" t="str">
        <f t="shared" ca="1" si="11"/>
        <v/>
      </c>
      <c r="E42" s="232" t="str">
        <f t="shared" ca="1" si="5"/>
        <v/>
      </c>
      <c r="F42" s="232" t="str">
        <f t="shared" ca="1" si="6"/>
        <v/>
      </c>
      <c r="G42" s="232" t="str">
        <f t="shared" ca="1" si="12"/>
        <v/>
      </c>
      <c r="H42" s="180" t="str">
        <f t="shared" ca="1" si="13"/>
        <v/>
      </c>
      <c r="I42" s="181"/>
      <c r="J42" s="231"/>
      <c r="K42" s="231"/>
      <c r="L42" s="66"/>
      <c r="M42" s="66"/>
      <c r="N42" s="231"/>
      <c r="O42" s="179" t="str">
        <f t="shared" si="8"/>
        <v/>
      </c>
      <c r="P42" s="289" t="str">
        <f t="shared" ca="1" si="9"/>
        <v/>
      </c>
    </row>
    <row r="43" spans="1:16" x14ac:dyDescent="0.25">
      <c r="A43" s="103">
        <v>31</v>
      </c>
      <c r="B43" s="182" t="str">
        <f>IF(ISNONTEXT(Landcover!B35),"",Landcover!B35)</f>
        <v/>
      </c>
      <c r="C43" s="179" t="str">
        <f t="shared" ca="1" si="10"/>
        <v/>
      </c>
      <c r="D43" s="179" t="str">
        <f t="shared" ca="1" si="11"/>
        <v/>
      </c>
      <c r="E43" s="232" t="str">
        <f t="shared" ca="1" si="5"/>
        <v/>
      </c>
      <c r="F43" s="232" t="str">
        <f t="shared" ca="1" si="6"/>
        <v/>
      </c>
      <c r="G43" s="232" t="str">
        <f t="shared" ca="1" si="12"/>
        <v/>
      </c>
      <c r="H43" s="180" t="str">
        <f t="shared" ca="1" si="13"/>
        <v/>
      </c>
      <c r="I43" s="181"/>
      <c r="J43" s="231"/>
      <c r="K43" s="231"/>
      <c r="L43" s="66"/>
      <c r="M43" s="66"/>
      <c r="N43" s="231"/>
      <c r="O43" s="179" t="str">
        <f t="shared" si="8"/>
        <v/>
      </c>
      <c r="P43" s="289" t="str">
        <f t="shared" ca="1" si="9"/>
        <v/>
      </c>
    </row>
    <row r="44" spans="1:16" x14ac:dyDescent="0.25">
      <c r="A44" s="103">
        <v>32</v>
      </c>
      <c r="B44" s="182" t="str">
        <f>IF(ISNONTEXT(Landcover!B36),"",Landcover!B36)</f>
        <v/>
      </c>
      <c r="C44" s="179" t="str">
        <f t="shared" ca="1" si="10"/>
        <v/>
      </c>
      <c r="D44" s="179" t="str">
        <f t="shared" ca="1" si="11"/>
        <v/>
      </c>
      <c r="E44" s="232" t="str">
        <f t="shared" ca="1" si="5"/>
        <v/>
      </c>
      <c r="F44" s="232" t="str">
        <f t="shared" ca="1" si="6"/>
        <v/>
      </c>
      <c r="G44" s="232" t="str">
        <f t="shared" ca="1" si="12"/>
        <v/>
      </c>
      <c r="H44" s="180" t="str">
        <f t="shared" ca="1" si="13"/>
        <v/>
      </c>
      <c r="I44" s="181"/>
      <c r="J44" s="231"/>
      <c r="K44" s="231"/>
      <c r="L44" s="66"/>
      <c r="M44" s="66"/>
      <c r="N44" s="231"/>
      <c r="O44" s="179" t="str">
        <f t="shared" si="8"/>
        <v/>
      </c>
      <c r="P44" s="289" t="str">
        <f t="shared" ca="1" si="9"/>
        <v/>
      </c>
    </row>
    <row r="45" spans="1:16" x14ac:dyDescent="0.25">
      <c r="A45" s="103">
        <v>33</v>
      </c>
      <c r="B45" s="182" t="str">
        <f>IF(ISNONTEXT(Landcover!B37),"",Landcover!B37)</f>
        <v/>
      </c>
      <c r="C45" s="179" t="str">
        <f t="shared" ca="1" si="10"/>
        <v/>
      </c>
      <c r="D45" s="179" t="str">
        <f t="shared" ca="1" si="11"/>
        <v/>
      </c>
      <c r="E45" s="232" t="str">
        <f t="shared" ca="1" si="5"/>
        <v/>
      </c>
      <c r="F45" s="232" t="str">
        <f t="shared" ca="1" si="6"/>
        <v/>
      </c>
      <c r="G45" s="232" t="str">
        <f t="shared" ca="1" si="12"/>
        <v/>
      </c>
      <c r="H45" s="180" t="str">
        <f t="shared" ca="1" si="13"/>
        <v/>
      </c>
      <c r="I45" s="181"/>
      <c r="J45" s="231"/>
      <c r="K45" s="231"/>
      <c r="L45" s="66"/>
      <c r="M45" s="66"/>
      <c r="N45" s="231"/>
      <c r="O45" s="179" t="str">
        <f t="shared" si="8"/>
        <v/>
      </c>
      <c r="P45" s="289" t="str">
        <f t="shared" ca="1" si="9"/>
        <v/>
      </c>
    </row>
    <row r="46" spans="1:16" x14ac:dyDescent="0.25">
      <c r="A46" s="103">
        <v>34</v>
      </c>
      <c r="B46" s="182" t="str">
        <f>IF(ISNONTEXT(Landcover!B38),"",Landcover!B38)</f>
        <v/>
      </c>
      <c r="C46" s="179" t="str">
        <f t="shared" ca="1" si="10"/>
        <v/>
      </c>
      <c r="D46" s="179" t="str">
        <f t="shared" ca="1" si="11"/>
        <v/>
      </c>
      <c r="E46" s="232" t="str">
        <f t="shared" ca="1" si="5"/>
        <v/>
      </c>
      <c r="F46" s="232" t="str">
        <f t="shared" ca="1" si="6"/>
        <v/>
      </c>
      <c r="G46" s="232" t="str">
        <f t="shared" ca="1" si="12"/>
        <v/>
      </c>
      <c r="H46" s="180" t="str">
        <f t="shared" ca="1" si="13"/>
        <v/>
      </c>
      <c r="I46" s="181"/>
      <c r="J46" s="231"/>
      <c r="K46" s="231"/>
      <c r="L46" s="66"/>
      <c r="M46" s="66"/>
      <c r="N46" s="231"/>
      <c r="O46" s="179" t="str">
        <f t="shared" si="8"/>
        <v/>
      </c>
      <c r="P46" s="289" t="str">
        <f t="shared" ca="1" si="9"/>
        <v/>
      </c>
    </row>
    <row r="47" spans="1:16" x14ac:dyDescent="0.25">
      <c r="A47" s="103">
        <v>35</v>
      </c>
      <c r="B47" s="182" t="str">
        <f>IF(ISNONTEXT(Landcover!B39),"",Landcover!B39)</f>
        <v/>
      </c>
      <c r="C47" s="179" t="str">
        <f t="shared" ca="1" si="10"/>
        <v/>
      </c>
      <c r="D47" s="179" t="str">
        <f t="shared" ca="1" si="11"/>
        <v/>
      </c>
      <c r="E47" s="232" t="str">
        <f t="shared" ca="1" si="5"/>
        <v/>
      </c>
      <c r="F47" s="232" t="str">
        <f t="shared" ca="1" si="6"/>
        <v/>
      </c>
      <c r="G47" s="232" t="str">
        <f t="shared" ca="1" si="12"/>
        <v/>
      </c>
      <c r="H47" s="180" t="str">
        <f t="shared" ca="1" si="13"/>
        <v/>
      </c>
      <c r="I47" s="181"/>
      <c r="J47" s="231"/>
      <c r="K47" s="231"/>
      <c r="L47" s="66"/>
      <c r="M47" s="66"/>
      <c r="N47" s="231"/>
      <c r="O47" s="179" t="str">
        <f t="shared" si="8"/>
        <v/>
      </c>
      <c r="P47" s="289" t="str">
        <f t="shared" ca="1" si="9"/>
        <v/>
      </c>
    </row>
    <row r="48" spans="1:16" x14ac:dyDescent="0.25">
      <c r="A48" s="103">
        <v>36</v>
      </c>
      <c r="B48" s="182" t="str">
        <f>IF(ISNONTEXT(Landcover!B40),"",Landcover!B40)</f>
        <v/>
      </c>
      <c r="C48" s="179" t="str">
        <f t="shared" ca="1" si="10"/>
        <v/>
      </c>
      <c r="D48" s="179" t="str">
        <f t="shared" ca="1" si="11"/>
        <v/>
      </c>
      <c r="E48" s="232" t="str">
        <f t="shared" ca="1" si="5"/>
        <v/>
      </c>
      <c r="F48" s="232" t="str">
        <f t="shared" ca="1" si="6"/>
        <v/>
      </c>
      <c r="G48" s="232" t="str">
        <f t="shared" ca="1" si="12"/>
        <v/>
      </c>
      <c r="H48" s="180" t="str">
        <f t="shared" ca="1" si="13"/>
        <v/>
      </c>
      <c r="I48" s="181"/>
      <c r="J48" s="231"/>
      <c r="K48" s="231"/>
      <c r="L48" s="66"/>
      <c r="M48" s="66"/>
      <c r="N48" s="231"/>
      <c r="O48" s="179" t="str">
        <f t="shared" si="8"/>
        <v/>
      </c>
      <c r="P48" s="289" t="str">
        <f t="shared" ca="1" si="9"/>
        <v/>
      </c>
    </row>
    <row r="49" spans="1:16" x14ac:dyDescent="0.25">
      <c r="A49" s="103">
        <v>37</v>
      </c>
      <c r="B49" s="182" t="str">
        <f>IF(ISNONTEXT(Landcover!B41),"",Landcover!B41)</f>
        <v/>
      </c>
      <c r="C49" s="179" t="str">
        <f t="shared" ca="1" si="10"/>
        <v/>
      </c>
      <c r="D49" s="179" t="str">
        <f t="shared" ca="1" si="11"/>
        <v/>
      </c>
      <c r="E49" s="232" t="str">
        <f t="shared" ca="1" si="5"/>
        <v/>
      </c>
      <c r="F49" s="232" t="str">
        <f t="shared" ca="1" si="6"/>
        <v/>
      </c>
      <c r="G49" s="232" t="str">
        <f t="shared" ca="1" si="12"/>
        <v/>
      </c>
      <c r="H49" s="180" t="str">
        <f t="shared" ca="1" si="13"/>
        <v/>
      </c>
      <c r="I49" s="181"/>
      <c r="J49" s="231"/>
      <c r="K49" s="231"/>
      <c r="L49" s="66"/>
      <c r="M49" s="66"/>
      <c r="N49" s="231"/>
      <c r="O49" s="179" t="str">
        <f t="shared" si="8"/>
        <v/>
      </c>
      <c r="P49" s="289" t="str">
        <f t="shared" ca="1" si="9"/>
        <v/>
      </c>
    </row>
    <row r="50" spans="1:16" x14ac:dyDescent="0.25">
      <c r="A50" s="103">
        <v>38</v>
      </c>
      <c r="B50" s="182" t="str">
        <f>IF(ISNONTEXT(Landcover!B42),"",Landcover!B42)</f>
        <v/>
      </c>
      <c r="C50" s="179" t="str">
        <f t="shared" ca="1" si="10"/>
        <v/>
      </c>
      <c r="D50" s="179" t="str">
        <f t="shared" ca="1" si="11"/>
        <v/>
      </c>
      <c r="E50" s="232" t="str">
        <f t="shared" ca="1" si="5"/>
        <v/>
      </c>
      <c r="F50" s="232" t="str">
        <f t="shared" ca="1" si="6"/>
        <v/>
      </c>
      <c r="G50" s="232" t="str">
        <f t="shared" ca="1" si="12"/>
        <v/>
      </c>
      <c r="H50" s="180" t="str">
        <f t="shared" ca="1" si="13"/>
        <v/>
      </c>
      <c r="I50" s="181"/>
      <c r="J50" s="231"/>
      <c r="K50" s="231"/>
      <c r="L50" s="66"/>
      <c r="M50" s="66"/>
      <c r="N50" s="231"/>
      <c r="O50" s="179" t="str">
        <f t="shared" si="8"/>
        <v/>
      </c>
      <c r="P50" s="289" t="str">
        <f t="shared" ca="1" si="9"/>
        <v/>
      </c>
    </row>
    <row r="51" spans="1:16" x14ac:dyDescent="0.25">
      <c r="A51" s="103">
        <v>39</v>
      </c>
      <c r="B51" s="182" t="str">
        <f>IF(ISNONTEXT(Landcover!B43),"",Landcover!B43)</f>
        <v/>
      </c>
      <c r="C51" s="179" t="str">
        <f t="shared" ca="1" si="10"/>
        <v/>
      </c>
      <c r="D51" s="179" t="str">
        <f t="shared" ca="1" si="11"/>
        <v/>
      </c>
      <c r="E51" s="232" t="str">
        <f t="shared" ca="1" si="5"/>
        <v/>
      </c>
      <c r="F51" s="232" t="str">
        <f t="shared" ca="1" si="6"/>
        <v/>
      </c>
      <c r="G51" s="232" t="str">
        <f t="shared" ca="1" si="12"/>
        <v/>
      </c>
      <c r="H51" s="180" t="str">
        <f t="shared" ca="1" si="13"/>
        <v/>
      </c>
      <c r="I51" s="181"/>
      <c r="J51" s="231"/>
      <c r="K51" s="231"/>
      <c r="L51" s="66"/>
      <c r="M51" s="66"/>
      <c r="N51" s="231"/>
      <c r="O51" s="179" t="str">
        <f t="shared" si="8"/>
        <v/>
      </c>
      <c r="P51" s="289" t="str">
        <f t="shared" ca="1" si="9"/>
        <v/>
      </c>
    </row>
    <row r="52" spans="1:16" x14ac:dyDescent="0.25">
      <c r="A52" s="103">
        <v>40</v>
      </c>
      <c r="B52" s="182" t="str">
        <f>IF(ISNONTEXT(Landcover!B44),"",Landcover!B44)</f>
        <v/>
      </c>
      <c r="C52" s="179" t="str">
        <f t="shared" ca="1" si="10"/>
        <v/>
      </c>
      <c r="D52" s="179" t="str">
        <f t="shared" ca="1" si="11"/>
        <v/>
      </c>
      <c r="E52" s="232" t="str">
        <f t="shared" ca="1" si="5"/>
        <v/>
      </c>
      <c r="F52" s="232" t="str">
        <f t="shared" ca="1" si="6"/>
        <v/>
      </c>
      <c r="G52" s="232" t="str">
        <f t="shared" ca="1" si="12"/>
        <v/>
      </c>
      <c r="H52" s="180" t="str">
        <f t="shared" ca="1" si="13"/>
        <v/>
      </c>
      <c r="I52" s="181"/>
      <c r="J52" s="231"/>
      <c r="K52" s="231"/>
      <c r="L52" s="66"/>
      <c r="M52" s="66"/>
      <c r="N52" s="231"/>
      <c r="O52" s="179" t="str">
        <f t="shared" si="8"/>
        <v/>
      </c>
      <c r="P52" s="289" t="str">
        <f t="shared" ca="1" si="9"/>
        <v/>
      </c>
    </row>
    <row r="53" spans="1:16" x14ac:dyDescent="0.25">
      <c r="A53" s="103">
        <v>41</v>
      </c>
      <c r="B53" s="182" t="str">
        <f>IF(ISNONTEXT(Landcover!B45),"",Landcover!B45)</f>
        <v/>
      </c>
      <c r="C53" s="179" t="str">
        <f t="shared" ca="1" si="10"/>
        <v/>
      </c>
      <c r="D53" s="179" t="str">
        <f t="shared" ca="1" si="11"/>
        <v/>
      </c>
      <c r="E53" s="232" t="str">
        <f t="shared" ca="1" si="5"/>
        <v/>
      </c>
      <c r="F53" s="232" t="str">
        <f t="shared" ca="1" si="6"/>
        <v/>
      </c>
      <c r="G53" s="232" t="str">
        <f t="shared" ca="1" si="12"/>
        <v/>
      </c>
      <c r="H53" s="180" t="str">
        <f t="shared" ca="1" si="13"/>
        <v/>
      </c>
      <c r="I53" s="181"/>
      <c r="J53" s="231"/>
      <c r="K53" s="231"/>
      <c r="L53" s="66"/>
      <c r="M53" s="66"/>
      <c r="N53" s="231"/>
      <c r="O53" s="179" t="str">
        <f t="shared" si="8"/>
        <v/>
      </c>
      <c r="P53" s="289" t="str">
        <f t="shared" ca="1" si="9"/>
        <v/>
      </c>
    </row>
    <row r="54" spans="1:16" x14ac:dyDescent="0.25">
      <c r="A54" s="103">
        <v>42</v>
      </c>
      <c r="B54" s="182" t="str">
        <f>IF(ISNONTEXT(Landcover!B46),"",Landcover!B46)</f>
        <v/>
      </c>
      <c r="C54" s="179" t="str">
        <f t="shared" ca="1" si="10"/>
        <v/>
      </c>
      <c r="D54" s="179" t="str">
        <f t="shared" ca="1" si="11"/>
        <v/>
      </c>
      <c r="E54" s="232" t="str">
        <f t="shared" ca="1" si="5"/>
        <v/>
      </c>
      <c r="F54" s="232" t="str">
        <f t="shared" ca="1" si="6"/>
        <v/>
      </c>
      <c r="G54" s="232" t="str">
        <f t="shared" ca="1" si="12"/>
        <v/>
      </c>
      <c r="H54" s="180" t="str">
        <f t="shared" ca="1" si="13"/>
        <v/>
      </c>
      <c r="I54" s="181"/>
      <c r="J54" s="231"/>
      <c r="K54" s="231"/>
      <c r="L54" s="66"/>
      <c r="M54" s="66"/>
      <c r="N54" s="231"/>
      <c r="O54" s="179" t="str">
        <f t="shared" si="8"/>
        <v/>
      </c>
      <c r="P54" s="289" t="str">
        <f t="shared" ca="1" si="9"/>
        <v/>
      </c>
    </row>
    <row r="55" spans="1:16" x14ac:dyDescent="0.25">
      <c r="A55" s="103">
        <v>43</v>
      </c>
      <c r="B55" s="182" t="str">
        <f>IF(ISNONTEXT(Landcover!B47),"",Landcover!B47)</f>
        <v/>
      </c>
      <c r="C55" s="179" t="str">
        <f t="shared" ca="1" si="10"/>
        <v/>
      </c>
      <c r="D55" s="179" t="str">
        <f t="shared" ca="1" si="11"/>
        <v/>
      </c>
      <c r="E55" s="232" t="str">
        <f t="shared" ca="1" si="5"/>
        <v/>
      </c>
      <c r="F55" s="232" t="str">
        <f t="shared" ca="1" si="6"/>
        <v/>
      </c>
      <c r="G55" s="232" t="str">
        <f t="shared" ca="1" si="12"/>
        <v/>
      </c>
      <c r="H55" s="180" t="str">
        <f t="shared" ca="1" si="13"/>
        <v/>
      </c>
      <c r="I55" s="181"/>
      <c r="J55" s="231"/>
      <c r="K55" s="231"/>
      <c r="L55" s="66"/>
      <c r="M55" s="66"/>
      <c r="N55" s="231"/>
      <c r="O55" s="179" t="str">
        <f t="shared" si="8"/>
        <v/>
      </c>
      <c r="P55" s="289" t="str">
        <f t="shared" ca="1" si="9"/>
        <v/>
      </c>
    </row>
    <row r="56" spans="1:16" x14ac:dyDescent="0.25">
      <c r="A56" s="103">
        <v>44</v>
      </c>
      <c r="B56" s="182" t="str">
        <f>IF(ISNONTEXT(Landcover!B48),"",Landcover!B48)</f>
        <v/>
      </c>
      <c r="C56" s="179" t="str">
        <f t="shared" ca="1" si="10"/>
        <v/>
      </c>
      <c r="D56" s="179" t="str">
        <f t="shared" ca="1" si="11"/>
        <v/>
      </c>
      <c r="E56" s="232" t="str">
        <f t="shared" ca="1" si="5"/>
        <v/>
      </c>
      <c r="F56" s="232" t="str">
        <f t="shared" ca="1" si="6"/>
        <v/>
      </c>
      <c r="G56" s="232" t="str">
        <f t="shared" ca="1" si="12"/>
        <v/>
      </c>
      <c r="H56" s="180" t="str">
        <f t="shared" ca="1" si="13"/>
        <v/>
      </c>
      <c r="I56" s="181"/>
      <c r="J56" s="231"/>
      <c r="K56" s="231"/>
      <c r="L56" s="66"/>
      <c r="M56" s="66"/>
      <c r="N56" s="231"/>
      <c r="O56" s="179" t="str">
        <f t="shared" si="8"/>
        <v/>
      </c>
      <c r="P56" s="289" t="str">
        <f t="shared" ca="1" si="9"/>
        <v/>
      </c>
    </row>
    <row r="57" spans="1:16" x14ac:dyDescent="0.25">
      <c r="A57" s="103">
        <v>45</v>
      </c>
      <c r="B57" s="182" t="str">
        <f>IF(ISNONTEXT(Landcover!B49),"",Landcover!B49)</f>
        <v/>
      </c>
      <c r="C57" s="179" t="str">
        <f t="shared" ca="1" si="10"/>
        <v/>
      </c>
      <c r="D57" s="179" t="str">
        <f t="shared" ca="1" si="11"/>
        <v/>
      </c>
      <c r="E57" s="232" t="str">
        <f t="shared" ca="1" si="5"/>
        <v/>
      </c>
      <c r="F57" s="232" t="str">
        <f t="shared" ca="1" si="6"/>
        <v/>
      </c>
      <c r="G57" s="232" t="str">
        <f t="shared" ca="1" si="12"/>
        <v/>
      </c>
      <c r="H57" s="180" t="str">
        <f t="shared" ca="1" si="13"/>
        <v/>
      </c>
      <c r="I57" s="181"/>
      <c r="J57" s="231"/>
      <c r="K57" s="231"/>
      <c r="L57" s="66"/>
      <c r="M57" s="66"/>
      <c r="N57" s="231"/>
      <c r="O57" s="179" t="str">
        <f t="shared" si="8"/>
        <v/>
      </c>
      <c r="P57" s="289" t="str">
        <f t="shared" ca="1" si="9"/>
        <v/>
      </c>
    </row>
    <row r="58" spans="1:16" x14ac:dyDescent="0.25">
      <c r="A58" s="103">
        <v>46</v>
      </c>
      <c r="B58" s="182" t="str">
        <f>IF(ISNONTEXT(Landcover!B50),"",Landcover!B50)</f>
        <v/>
      </c>
      <c r="C58" s="179" t="str">
        <f t="shared" ca="1" si="10"/>
        <v/>
      </c>
      <c r="D58" s="179" t="str">
        <f t="shared" ca="1" si="11"/>
        <v/>
      </c>
      <c r="E58" s="232" t="str">
        <f t="shared" ca="1" si="5"/>
        <v/>
      </c>
      <c r="F58" s="232" t="str">
        <f t="shared" ca="1" si="6"/>
        <v/>
      </c>
      <c r="G58" s="232" t="str">
        <f t="shared" ca="1" si="12"/>
        <v/>
      </c>
      <c r="H58" s="180" t="str">
        <f t="shared" ca="1" si="13"/>
        <v/>
      </c>
      <c r="I58" s="181"/>
      <c r="J58" s="231"/>
      <c r="K58" s="231"/>
      <c r="L58" s="66"/>
      <c r="M58" s="66"/>
      <c r="N58" s="231"/>
      <c r="O58" s="179" t="str">
        <f t="shared" si="8"/>
        <v/>
      </c>
      <c r="P58" s="289" t="str">
        <f t="shared" ca="1" si="9"/>
        <v/>
      </c>
    </row>
    <row r="59" spans="1:16" x14ac:dyDescent="0.25">
      <c r="A59" s="103">
        <v>47</v>
      </c>
      <c r="B59" s="182" t="str">
        <f>IF(ISNONTEXT(Landcover!B51),"",Landcover!B51)</f>
        <v/>
      </c>
      <c r="C59" s="179" t="str">
        <f t="shared" ca="1" si="10"/>
        <v/>
      </c>
      <c r="D59" s="179" t="str">
        <f t="shared" ca="1" si="11"/>
        <v/>
      </c>
      <c r="E59" s="232" t="str">
        <f t="shared" ca="1" si="5"/>
        <v/>
      </c>
      <c r="F59" s="232" t="str">
        <f t="shared" ca="1" si="6"/>
        <v/>
      </c>
      <c r="G59" s="232" t="str">
        <f t="shared" ca="1" si="12"/>
        <v/>
      </c>
      <c r="H59" s="180" t="str">
        <f t="shared" ca="1" si="13"/>
        <v/>
      </c>
      <c r="I59" s="181"/>
      <c r="J59" s="231"/>
      <c r="K59" s="231"/>
      <c r="L59" s="66"/>
      <c r="M59" s="66"/>
      <c r="N59" s="231"/>
      <c r="O59" s="179" t="str">
        <f t="shared" si="8"/>
        <v/>
      </c>
      <c r="P59" s="289" t="str">
        <f t="shared" ca="1" si="9"/>
        <v/>
      </c>
    </row>
    <row r="60" spans="1:16" x14ac:dyDescent="0.25">
      <c r="A60" s="103">
        <v>48</v>
      </c>
      <c r="B60" s="182" t="str">
        <f>IF(ISNONTEXT(Landcover!B52),"",Landcover!B52)</f>
        <v/>
      </c>
      <c r="C60" s="179" t="str">
        <f t="shared" ca="1" si="10"/>
        <v/>
      </c>
      <c r="D60" s="179" t="str">
        <f t="shared" ca="1" si="11"/>
        <v/>
      </c>
      <c r="E60" s="232" t="str">
        <f t="shared" ca="1" si="5"/>
        <v/>
      </c>
      <c r="F60" s="232" t="str">
        <f t="shared" ca="1" si="6"/>
        <v/>
      </c>
      <c r="G60" s="232" t="str">
        <f t="shared" ca="1" si="12"/>
        <v/>
      </c>
      <c r="H60" s="180" t="str">
        <f t="shared" ca="1" si="13"/>
        <v/>
      </c>
      <c r="I60" s="181"/>
      <c r="J60" s="231"/>
      <c r="K60" s="231"/>
      <c r="L60" s="66"/>
      <c r="M60" s="66"/>
      <c r="N60" s="231"/>
      <c r="O60" s="179" t="str">
        <f t="shared" si="8"/>
        <v/>
      </c>
      <c r="P60" s="289" t="str">
        <f t="shared" ca="1" si="9"/>
        <v/>
      </c>
    </row>
    <row r="61" spans="1:16" x14ac:dyDescent="0.25">
      <c r="A61" s="103">
        <v>49</v>
      </c>
      <c r="B61" s="182" t="str">
        <f>IF(ISNONTEXT(Landcover!B53),"",Landcover!B53)</f>
        <v/>
      </c>
      <c r="C61" s="179" t="str">
        <f t="shared" ca="1" si="10"/>
        <v/>
      </c>
      <c r="D61" s="179" t="str">
        <f t="shared" ca="1" si="11"/>
        <v/>
      </c>
      <c r="E61" s="232" t="str">
        <f t="shared" ca="1" si="5"/>
        <v/>
      </c>
      <c r="F61" s="232" t="str">
        <f t="shared" ca="1" si="6"/>
        <v/>
      </c>
      <c r="G61" s="232" t="str">
        <f t="shared" ca="1" si="12"/>
        <v/>
      </c>
      <c r="H61" s="180" t="str">
        <f t="shared" ca="1" si="13"/>
        <v/>
      </c>
      <c r="I61" s="181"/>
      <c r="J61" s="231"/>
      <c r="K61" s="231"/>
      <c r="L61" s="66"/>
      <c r="M61" s="66"/>
      <c r="N61" s="231"/>
      <c r="O61" s="179" t="str">
        <f t="shared" si="8"/>
        <v/>
      </c>
      <c r="P61" s="289" t="str">
        <f t="shared" ca="1" si="9"/>
        <v/>
      </c>
    </row>
    <row r="62" spans="1:16" x14ac:dyDescent="0.25">
      <c r="A62" s="103">
        <v>50</v>
      </c>
      <c r="B62" s="182" t="str">
        <f>IF(ISNONTEXT(Landcover!B54),"",Landcover!B54)</f>
        <v/>
      </c>
      <c r="C62" s="179" t="str">
        <f t="shared" ca="1" si="10"/>
        <v/>
      </c>
      <c r="D62" s="179" t="str">
        <f t="shared" ca="1" si="11"/>
        <v/>
      </c>
      <c r="E62" s="232" t="str">
        <f t="shared" ca="1" si="5"/>
        <v/>
      </c>
      <c r="F62" s="232" t="str">
        <f t="shared" ca="1" si="6"/>
        <v/>
      </c>
      <c r="G62" s="232" t="str">
        <f t="shared" ca="1" si="12"/>
        <v/>
      </c>
      <c r="H62" s="180" t="str">
        <f t="shared" ca="1" si="13"/>
        <v/>
      </c>
      <c r="I62" s="181"/>
      <c r="J62" s="231"/>
      <c r="K62" s="231"/>
      <c r="L62" s="66"/>
      <c r="M62" s="66"/>
      <c r="N62" s="231"/>
      <c r="O62" s="179" t="str">
        <f t="shared" si="8"/>
        <v/>
      </c>
      <c r="P62" s="289" t="str">
        <f t="shared" ca="1" si="9"/>
        <v/>
      </c>
    </row>
    <row r="63" spans="1:16" x14ac:dyDescent="0.25">
      <c r="A63" s="103">
        <v>51</v>
      </c>
      <c r="B63" s="182" t="str">
        <f>IF(ISNONTEXT(Landcover!B55),"",Landcover!B55)</f>
        <v/>
      </c>
      <c r="C63" s="179" t="str">
        <f t="shared" ca="1" si="10"/>
        <v/>
      </c>
      <c r="D63" s="179" t="str">
        <f t="shared" ca="1" si="11"/>
        <v/>
      </c>
      <c r="E63" s="232" t="str">
        <f t="shared" ca="1" si="5"/>
        <v/>
      </c>
      <c r="F63" s="232" t="str">
        <f t="shared" ca="1" si="6"/>
        <v/>
      </c>
      <c r="G63" s="232" t="str">
        <f t="shared" ca="1" si="12"/>
        <v/>
      </c>
      <c r="H63" s="180" t="str">
        <f t="shared" ca="1" si="13"/>
        <v/>
      </c>
      <c r="I63" s="181"/>
      <c r="J63" s="231"/>
      <c r="K63" s="231"/>
      <c r="L63" s="66"/>
      <c r="M63" s="66"/>
      <c r="N63" s="231"/>
      <c r="O63" s="179" t="str">
        <f t="shared" si="8"/>
        <v/>
      </c>
      <c r="P63" s="289" t="str">
        <f t="shared" ca="1" si="9"/>
        <v/>
      </c>
    </row>
    <row r="64" spans="1:16" x14ac:dyDescent="0.25">
      <c r="A64" s="103">
        <v>52</v>
      </c>
      <c r="B64" s="182" t="str">
        <f>IF(ISNONTEXT(Landcover!B56),"",Landcover!B56)</f>
        <v/>
      </c>
      <c r="C64" s="179" t="str">
        <f t="shared" ca="1" si="10"/>
        <v/>
      </c>
      <c r="D64" s="179" t="str">
        <f t="shared" ca="1" si="11"/>
        <v/>
      </c>
      <c r="E64" s="232" t="str">
        <f t="shared" ca="1" si="5"/>
        <v/>
      </c>
      <c r="F64" s="232" t="str">
        <f t="shared" ca="1" si="6"/>
        <v/>
      </c>
      <c r="G64" s="232" t="str">
        <f t="shared" ca="1" si="12"/>
        <v/>
      </c>
      <c r="H64" s="180" t="str">
        <f t="shared" ca="1" si="13"/>
        <v/>
      </c>
      <c r="I64" s="181"/>
      <c r="J64" s="231"/>
      <c r="K64" s="231"/>
      <c r="L64" s="66"/>
      <c r="M64" s="66"/>
      <c r="N64" s="231"/>
      <c r="O64" s="179" t="str">
        <f t="shared" si="8"/>
        <v/>
      </c>
      <c r="P64" s="289" t="str">
        <f t="shared" ca="1" si="9"/>
        <v/>
      </c>
    </row>
    <row r="65" spans="1:16" x14ac:dyDescent="0.25">
      <c r="A65" s="103">
        <v>53</v>
      </c>
      <c r="B65" s="182" t="str">
        <f>IF(ISNONTEXT(Landcover!B57),"",Landcover!B57)</f>
        <v/>
      </c>
      <c r="C65" s="179" t="str">
        <f t="shared" ca="1" si="10"/>
        <v/>
      </c>
      <c r="D65" s="179" t="str">
        <f t="shared" ca="1" si="11"/>
        <v/>
      </c>
      <c r="E65" s="232" t="str">
        <f t="shared" ca="1" si="5"/>
        <v/>
      </c>
      <c r="F65" s="232" t="str">
        <f t="shared" ca="1" si="6"/>
        <v/>
      </c>
      <c r="G65" s="232" t="str">
        <f t="shared" ca="1" si="12"/>
        <v/>
      </c>
      <c r="H65" s="180" t="str">
        <f t="shared" ca="1" si="13"/>
        <v/>
      </c>
      <c r="I65" s="181"/>
      <c r="J65" s="231"/>
      <c r="K65" s="231"/>
      <c r="L65" s="66"/>
      <c r="M65" s="66"/>
      <c r="N65" s="231"/>
      <c r="O65" s="179" t="str">
        <f t="shared" si="8"/>
        <v/>
      </c>
      <c r="P65" s="289" t="str">
        <f t="shared" ca="1" si="9"/>
        <v/>
      </c>
    </row>
    <row r="66" spans="1:16" x14ac:dyDescent="0.25">
      <c r="A66" s="103">
        <v>54</v>
      </c>
      <c r="B66" s="182" t="str">
        <f>IF(ISNONTEXT(Landcover!B58),"",Landcover!B58)</f>
        <v/>
      </c>
      <c r="C66" s="179" t="str">
        <f t="shared" ca="1" si="10"/>
        <v/>
      </c>
      <c r="D66" s="179" t="str">
        <f t="shared" ca="1" si="11"/>
        <v/>
      </c>
      <c r="E66" s="232" t="str">
        <f t="shared" ca="1" si="5"/>
        <v/>
      </c>
      <c r="F66" s="232" t="str">
        <f t="shared" ca="1" si="6"/>
        <v/>
      </c>
      <c r="G66" s="232" t="str">
        <f t="shared" ca="1" si="12"/>
        <v/>
      </c>
      <c r="H66" s="180" t="str">
        <f t="shared" ca="1" si="13"/>
        <v/>
      </c>
      <c r="I66" s="181"/>
      <c r="J66" s="231"/>
      <c r="K66" s="231"/>
      <c r="L66" s="66"/>
      <c r="M66" s="66"/>
      <c r="N66" s="231"/>
      <c r="O66" s="179" t="str">
        <f t="shared" si="8"/>
        <v/>
      </c>
      <c r="P66" s="289" t="str">
        <f t="shared" ca="1" si="9"/>
        <v/>
      </c>
    </row>
    <row r="67" spans="1:16" x14ac:dyDescent="0.25">
      <c r="A67" s="103">
        <v>55</v>
      </c>
      <c r="B67" s="182" t="str">
        <f>IF(ISNONTEXT(Landcover!B59),"",Landcover!B59)</f>
        <v/>
      </c>
      <c r="C67" s="179" t="str">
        <f t="shared" ca="1" si="10"/>
        <v/>
      </c>
      <c r="D67" s="179" t="str">
        <f t="shared" ca="1" si="11"/>
        <v/>
      </c>
      <c r="E67" s="232" t="str">
        <f t="shared" ca="1" si="5"/>
        <v/>
      </c>
      <c r="F67" s="232" t="str">
        <f t="shared" ca="1" si="6"/>
        <v/>
      </c>
      <c r="G67" s="232" t="str">
        <f t="shared" ca="1" si="12"/>
        <v/>
      </c>
      <c r="H67" s="180" t="str">
        <f t="shared" ca="1" si="13"/>
        <v/>
      </c>
      <c r="I67" s="181"/>
      <c r="J67" s="231"/>
      <c r="K67" s="231"/>
      <c r="L67" s="66"/>
      <c r="M67" s="66"/>
      <c r="N67" s="231"/>
      <c r="O67" s="179" t="str">
        <f t="shared" si="8"/>
        <v/>
      </c>
      <c r="P67" s="289" t="str">
        <f t="shared" ca="1" si="9"/>
        <v/>
      </c>
    </row>
    <row r="68" spans="1:16" x14ac:dyDescent="0.25">
      <c r="A68" s="103">
        <v>56</v>
      </c>
      <c r="B68" s="182" t="str">
        <f>IF(ISNONTEXT(Landcover!B60),"",Landcover!B60)</f>
        <v/>
      </c>
      <c r="C68" s="179" t="str">
        <f t="shared" ca="1" si="10"/>
        <v/>
      </c>
      <c r="D68" s="179" t="str">
        <f t="shared" ca="1" si="11"/>
        <v/>
      </c>
      <c r="E68" s="232" t="str">
        <f t="shared" ca="1" si="5"/>
        <v/>
      </c>
      <c r="F68" s="232" t="str">
        <f t="shared" ca="1" si="6"/>
        <v/>
      </c>
      <c r="G68" s="232" t="str">
        <f t="shared" ca="1" si="12"/>
        <v/>
      </c>
      <c r="H68" s="180" t="str">
        <f t="shared" ca="1" si="13"/>
        <v/>
      </c>
      <c r="I68" s="181"/>
      <c r="J68" s="231"/>
      <c r="K68" s="231"/>
      <c r="L68" s="66"/>
      <c r="M68" s="66"/>
      <c r="N68" s="231"/>
      <c r="O68" s="179" t="str">
        <f t="shared" si="8"/>
        <v/>
      </c>
      <c r="P68" s="289" t="str">
        <f t="shared" ca="1" si="9"/>
        <v/>
      </c>
    </row>
    <row r="69" spans="1:16" x14ac:dyDescent="0.25">
      <c r="A69" s="103">
        <v>57</v>
      </c>
      <c r="B69" s="182" t="str">
        <f>IF(ISNONTEXT(Landcover!B61),"",Landcover!B61)</f>
        <v/>
      </c>
      <c r="C69" s="179" t="str">
        <f t="shared" ca="1" si="10"/>
        <v/>
      </c>
      <c r="D69" s="179" t="str">
        <f t="shared" ca="1" si="11"/>
        <v/>
      </c>
      <c r="E69" s="232" t="str">
        <f t="shared" ca="1" si="5"/>
        <v/>
      </c>
      <c r="F69" s="232" t="str">
        <f t="shared" ca="1" si="6"/>
        <v/>
      </c>
      <c r="G69" s="232" t="str">
        <f t="shared" ca="1" si="12"/>
        <v/>
      </c>
      <c r="H69" s="180" t="str">
        <f t="shared" ca="1" si="13"/>
        <v/>
      </c>
      <c r="I69" s="181"/>
      <c r="J69" s="231"/>
      <c r="K69" s="231"/>
      <c r="L69" s="66"/>
      <c r="M69" s="66"/>
      <c r="N69" s="231"/>
      <c r="O69" s="179" t="str">
        <f t="shared" si="8"/>
        <v/>
      </c>
      <c r="P69" s="289" t="str">
        <f t="shared" ca="1" si="9"/>
        <v/>
      </c>
    </row>
    <row r="70" spans="1:16" x14ac:dyDescent="0.25">
      <c r="A70" s="103">
        <v>58</v>
      </c>
      <c r="B70" s="182" t="str">
        <f>IF(ISNONTEXT(Landcover!B62),"",Landcover!B62)</f>
        <v/>
      </c>
      <c r="C70" s="179" t="str">
        <f t="shared" ca="1" si="10"/>
        <v/>
      </c>
      <c r="D70" s="179" t="str">
        <f t="shared" ca="1" si="11"/>
        <v/>
      </c>
      <c r="E70" s="232" t="str">
        <f t="shared" ca="1" si="5"/>
        <v/>
      </c>
      <c r="F70" s="232" t="str">
        <f t="shared" ca="1" si="6"/>
        <v/>
      </c>
      <c r="G70" s="232" t="str">
        <f t="shared" ca="1" si="12"/>
        <v/>
      </c>
      <c r="H70" s="180" t="str">
        <f t="shared" ca="1" si="13"/>
        <v/>
      </c>
      <c r="I70" s="181"/>
      <c r="J70" s="231"/>
      <c r="K70" s="231"/>
      <c r="L70" s="66"/>
      <c r="M70" s="66"/>
      <c r="N70" s="231"/>
      <c r="O70" s="179" t="str">
        <f t="shared" si="8"/>
        <v/>
      </c>
      <c r="P70" s="289" t="str">
        <f t="shared" ca="1" si="9"/>
        <v/>
      </c>
    </row>
    <row r="71" spans="1:16" x14ac:dyDescent="0.25">
      <c r="A71" s="103">
        <v>59</v>
      </c>
      <c r="B71" s="182" t="str">
        <f>IF(ISNONTEXT(Landcover!B63),"",Landcover!B63)</f>
        <v/>
      </c>
      <c r="C71" s="179" t="str">
        <f t="shared" ca="1" si="10"/>
        <v/>
      </c>
      <c r="D71" s="179" t="str">
        <f t="shared" ca="1" si="11"/>
        <v/>
      </c>
      <c r="E71" s="232" t="str">
        <f t="shared" ca="1" si="5"/>
        <v/>
      </c>
      <c r="F71" s="232" t="str">
        <f t="shared" ca="1" si="6"/>
        <v/>
      </c>
      <c r="G71" s="232" t="str">
        <f t="shared" ca="1" si="12"/>
        <v/>
      </c>
      <c r="H71" s="180" t="str">
        <f t="shared" ca="1" si="13"/>
        <v/>
      </c>
      <c r="I71" s="181"/>
      <c r="J71" s="231"/>
      <c r="K71" s="231"/>
      <c r="L71" s="66"/>
      <c r="M71" s="66"/>
      <c r="N71" s="231"/>
      <c r="O71" s="179" t="str">
        <f t="shared" si="8"/>
        <v/>
      </c>
      <c r="P71" s="289" t="str">
        <f t="shared" ca="1" si="9"/>
        <v/>
      </c>
    </row>
    <row r="72" spans="1:16" x14ac:dyDescent="0.25">
      <c r="A72" s="103">
        <v>60</v>
      </c>
      <c r="B72" s="182" t="str">
        <f>IF(ISNONTEXT(Landcover!B64),"",Landcover!B64)</f>
        <v/>
      </c>
      <c r="C72" s="179" t="str">
        <f t="shared" ca="1" si="10"/>
        <v/>
      </c>
      <c r="D72" s="179" t="str">
        <f t="shared" ca="1" si="11"/>
        <v/>
      </c>
      <c r="E72" s="232" t="str">
        <f t="shared" ca="1" si="5"/>
        <v/>
      </c>
      <c r="F72" s="232" t="str">
        <f t="shared" ca="1" si="6"/>
        <v/>
      </c>
      <c r="G72" s="232" t="str">
        <f t="shared" ca="1" si="12"/>
        <v/>
      </c>
      <c r="H72" s="180" t="str">
        <f t="shared" ca="1" si="13"/>
        <v/>
      </c>
      <c r="I72" s="181"/>
      <c r="J72" s="231"/>
      <c r="K72" s="231"/>
      <c r="L72" s="66"/>
      <c r="M72" s="66"/>
      <c r="N72" s="231"/>
      <c r="O72" s="179" t="str">
        <f t="shared" si="8"/>
        <v/>
      </c>
      <c r="P72" s="289" t="str">
        <f t="shared" ca="1" si="9"/>
        <v/>
      </c>
    </row>
    <row r="73" spans="1:16" x14ac:dyDescent="0.25">
      <c r="A73" s="103">
        <v>61</v>
      </c>
      <c r="B73" s="182" t="str">
        <f>IF(ISNONTEXT(Landcover!B65),"",Landcover!B65)</f>
        <v/>
      </c>
      <c r="C73" s="179" t="str">
        <f t="shared" ca="1" si="10"/>
        <v/>
      </c>
      <c r="D73" s="179" t="str">
        <f t="shared" ca="1" si="11"/>
        <v/>
      </c>
      <c r="E73" s="232" t="str">
        <f t="shared" ca="1" si="5"/>
        <v/>
      </c>
      <c r="F73" s="232" t="str">
        <f t="shared" ca="1" si="6"/>
        <v/>
      </c>
      <c r="G73" s="232" t="str">
        <f t="shared" ca="1" si="12"/>
        <v/>
      </c>
      <c r="H73" s="180" t="str">
        <f t="shared" ca="1" si="13"/>
        <v/>
      </c>
      <c r="I73" s="181"/>
      <c r="J73" s="231"/>
      <c r="K73" s="231"/>
      <c r="L73" s="66"/>
      <c r="M73" s="66"/>
      <c r="N73" s="231"/>
      <c r="O73" s="179" t="str">
        <f t="shared" si="8"/>
        <v/>
      </c>
      <c r="P73" s="289" t="str">
        <f t="shared" ca="1" si="9"/>
        <v/>
      </c>
    </row>
    <row r="74" spans="1:16" x14ac:dyDescent="0.25">
      <c r="A74" s="103">
        <v>62</v>
      </c>
      <c r="B74" s="182" t="str">
        <f>IF(ISNONTEXT(Landcover!B66),"",Landcover!B66)</f>
        <v/>
      </c>
      <c r="C74" s="179" t="str">
        <f t="shared" ca="1" si="10"/>
        <v/>
      </c>
      <c r="D74" s="179" t="str">
        <f t="shared" ca="1" si="11"/>
        <v/>
      </c>
      <c r="E74" s="232" t="str">
        <f t="shared" ca="1" si="5"/>
        <v/>
      </c>
      <c r="F74" s="232" t="str">
        <f t="shared" ca="1" si="6"/>
        <v/>
      </c>
      <c r="G74" s="232" t="str">
        <f t="shared" ca="1" si="12"/>
        <v/>
      </c>
      <c r="H74" s="180" t="str">
        <f t="shared" ca="1" si="13"/>
        <v/>
      </c>
      <c r="I74" s="181"/>
      <c r="J74" s="231"/>
      <c r="K74" s="231"/>
      <c r="L74" s="66"/>
      <c r="M74" s="66"/>
      <c r="N74" s="231"/>
      <c r="O74" s="179" t="str">
        <f t="shared" si="8"/>
        <v/>
      </c>
      <c r="P74" s="289" t="str">
        <f t="shared" ca="1" si="9"/>
        <v/>
      </c>
    </row>
    <row r="75" spans="1:16" x14ac:dyDescent="0.25">
      <c r="A75" s="103">
        <v>63</v>
      </c>
      <c r="B75" s="182" t="str">
        <f>IF(ISNONTEXT(Landcover!B67),"",Landcover!B67)</f>
        <v/>
      </c>
      <c r="C75" s="179" t="str">
        <f t="shared" ca="1" si="10"/>
        <v/>
      </c>
      <c r="D75" s="179" t="str">
        <f t="shared" ca="1" si="11"/>
        <v/>
      </c>
      <c r="E75" s="232" t="str">
        <f t="shared" ca="1" si="5"/>
        <v/>
      </c>
      <c r="F75" s="232" t="str">
        <f t="shared" ca="1" si="6"/>
        <v/>
      </c>
      <c r="G75" s="232" t="str">
        <f t="shared" ca="1" si="12"/>
        <v/>
      </c>
      <c r="H75" s="180" t="str">
        <f t="shared" ca="1" si="13"/>
        <v/>
      </c>
      <c r="I75" s="181"/>
      <c r="J75" s="231"/>
      <c r="K75" s="231"/>
      <c r="L75" s="66"/>
      <c r="M75" s="66"/>
      <c r="N75" s="231"/>
      <c r="O75" s="179" t="str">
        <f t="shared" si="8"/>
        <v/>
      </c>
      <c r="P75" s="289" t="str">
        <f t="shared" ca="1" si="9"/>
        <v/>
      </c>
    </row>
    <row r="76" spans="1:16" x14ac:dyDescent="0.25">
      <c r="A76" s="233">
        <v>64</v>
      </c>
      <c r="B76" s="182" t="str">
        <f>IF(ISNONTEXT(Landcover!B68),"",Landcover!B68)</f>
        <v/>
      </c>
      <c r="C76" s="179" t="str">
        <f t="shared" ca="1" si="10"/>
        <v/>
      </c>
      <c r="D76" s="179" t="str">
        <f t="shared" ca="1" si="11"/>
        <v/>
      </c>
      <c r="E76" s="232" t="str">
        <f t="shared" ca="1" si="5"/>
        <v/>
      </c>
      <c r="F76" s="232" t="str">
        <f t="shared" ca="1" si="6"/>
        <v/>
      </c>
      <c r="G76" s="232" t="str">
        <f t="shared" ca="1" si="12"/>
        <v/>
      </c>
      <c r="H76" s="180" t="str">
        <f t="shared" ca="1" si="13"/>
        <v/>
      </c>
      <c r="I76" s="181"/>
      <c r="J76" s="231"/>
      <c r="K76" s="231"/>
      <c r="L76" s="66"/>
      <c r="M76" s="66"/>
      <c r="N76" s="231"/>
      <c r="O76" s="179" t="str">
        <f t="shared" si="8"/>
        <v/>
      </c>
      <c r="P76" s="289" t="str">
        <f t="shared" ca="1" si="9"/>
        <v/>
      </c>
    </row>
    <row r="77" spans="1:16" x14ac:dyDescent="0.25">
      <c r="B77" s="60"/>
      <c r="C77" s="50"/>
      <c r="D77" s="50"/>
      <c r="E77" s="59"/>
      <c r="F77" s="59"/>
      <c r="G77" s="59"/>
      <c r="H77" s="50"/>
    </row>
  </sheetData>
  <mergeCells count="6">
    <mergeCell ref="J1:N1"/>
    <mergeCell ref="C2:L7"/>
    <mergeCell ref="E12:G12"/>
    <mergeCell ref="C12:D12"/>
    <mergeCell ref="B10:H10"/>
    <mergeCell ref="J11:K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Events!$B$3:$B$9</xm:f>
          </x14:formula1>
          <xm:sqref>I13:I76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workbookViewId="0">
      <selection activeCell="H12" sqref="H12"/>
    </sheetView>
  </sheetViews>
  <sheetFormatPr defaultRowHeight="15" x14ac:dyDescent="0.25"/>
  <cols>
    <col min="1" max="1" width="2.5703125" customWidth="1"/>
    <col min="2" max="2" width="40.28515625" bestFit="1" customWidth="1"/>
    <col min="3" max="3" width="5.85546875" customWidth="1"/>
    <col min="4" max="4" width="40.28515625" bestFit="1" customWidth="1"/>
    <col min="5" max="5" width="8.5703125" customWidth="1"/>
  </cols>
  <sheetData>
    <row r="1" spans="2:7" s="7" customFormat="1" ht="18.75" x14ac:dyDescent="0.3">
      <c r="B1" s="6" t="s">
        <v>105</v>
      </c>
      <c r="C1" s="6"/>
    </row>
    <row r="2" spans="2:7" x14ac:dyDescent="0.25">
      <c r="B2" s="2" t="s">
        <v>25</v>
      </c>
      <c r="C2" s="2" t="s">
        <v>18</v>
      </c>
      <c r="D2" s="2" t="s">
        <v>26</v>
      </c>
    </row>
    <row r="3" spans="2:7" x14ac:dyDescent="0.25">
      <c r="B3" s="292" t="s">
        <v>90</v>
      </c>
      <c r="C3" s="162">
        <v>2.89</v>
      </c>
      <c r="D3" s="162" t="s">
        <v>206</v>
      </c>
      <c r="E3" s="68"/>
      <c r="F3" s="68"/>
    </row>
    <row r="4" spans="2:7" x14ac:dyDescent="0.25">
      <c r="B4" s="292" t="s">
        <v>91</v>
      </c>
      <c r="C4" s="162">
        <v>3.49</v>
      </c>
      <c r="D4" s="162" t="s">
        <v>207</v>
      </c>
    </row>
    <row r="5" spans="2:7" x14ac:dyDescent="0.25">
      <c r="B5" s="292" t="s">
        <v>27</v>
      </c>
      <c r="C5" s="162">
        <v>4.38</v>
      </c>
      <c r="D5" s="162" t="s">
        <v>208</v>
      </c>
    </row>
    <row r="6" spans="2:7" x14ac:dyDescent="0.25">
      <c r="B6" s="292" t="s">
        <v>92</v>
      </c>
      <c r="C6" s="162">
        <v>5.09</v>
      </c>
      <c r="D6" s="162" t="s">
        <v>209</v>
      </c>
    </row>
    <row r="7" spans="2:7" x14ac:dyDescent="0.25">
      <c r="B7" s="292" t="s">
        <v>93</v>
      </c>
      <c r="C7" s="162">
        <v>6.05</v>
      </c>
      <c r="D7" s="162" t="s">
        <v>210</v>
      </c>
    </row>
    <row r="8" spans="2:7" x14ac:dyDescent="0.25">
      <c r="B8" s="292" t="s">
        <v>94</v>
      </c>
      <c r="C8" s="162">
        <v>6.81</v>
      </c>
      <c r="D8" s="162" t="s">
        <v>211</v>
      </c>
    </row>
    <row r="9" spans="2:7" x14ac:dyDescent="0.25">
      <c r="B9" s="292" t="s">
        <v>108</v>
      </c>
      <c r="C9" s="162">
        <v>7.59</v>
      </c>
      <c r="D9" s="162" t="s">
        <v>212</v>
      </c>
    </row>
    <row r="11" spans="2:7" x14ac:dyDescent="0.25">
      <c r="B11" s="40" t="s">
        <v>131</v>
      </c>
    </row>
    <row r="12" spans="2:7" x14ac:dyDescent="0.25">
      <c r="B12" t="s">
        <v>132</v>
      </c>
      <c r="C12" s="293">
        <v>-2</v>
      </c>
      <c r="D12" t="s">
        <v>157</v>
      </c>
      <c r="E12" s="47"/>
      <c r="F12" s="47"/>
      <c r="G12" s="47"/>
    </row>
    <row r="13" spans="2:7" x14ac:dyDescent="0.25">
      <c r="B13" t="s">
        <v>128</v>
      </c>
      <c r="C13" s="294">
        <v>0.05</v>
      </c>
      <c r="D13" s="163" t="s">
        <v>158</v>
      </c>
      <c r="E13" s="163"/>
      <c r="F13" s="163"/>
      <c r="G13" s="47"/>
    </row>
    <row r="14" spans="2:7" x14ac:dyDescent="0.25">
      <c r="C14" s="145"/>
      <c r="D14" s="347"/>
      <c r="E14" s="347"/>
      <c r="F14" s="347"/>
      <c r="G14" s="47"/>
    </row>
    <row r="15" spans="2:7" x14ac:dyDescent="0.25">
      <c r="C15" s="145"/>
      <c r="D15" s="146"/>
      <c r="E15" s="146"/>
      <c r="F15" s="146"/>
      <c r="G15" s="47"/>
    </row>
    <row r="16" spans="2:7" x14ac:dyDescent="0.25">
      <c r="C16" s="145"/>
      <c r="D16" s="147"/>
      <c r="E16" s="147"/>
      <c r="F16" s="148"/>
      <c r="G16" s="47"/>
    </row>
    <row r="17" spans="2:7" x14ac:dyDescent="0.25">
      <c r="C17" s="145"/>
      <c r="D17" s="147"/>
      <c r="E17" s="147"/>
      <c r="F17" s="148"/>
      <c r="G17" s="47"/>
    </row>
    <row r="18" spans="2:7" x14ac:dyDescent="0.25">
      <c r="C18" s="145"/>
      <c r="D18" s="147"/>
      <c r="E18" s="147"/>
      <c r="F18" s="148"/>
      <c r="G18" s="47"/>
    </row>
    <row r="19" spans="2:7" x14ac:dyDescent="0.25">
      <c r="B19" s="164" t="s">
        <v>161</v>
      </c>
      <c r="C19" s="145"/>
      <c r="D19" s="147"/>
      <c r="E19" s="147"/>
      <c r="F19" s="148"/>
      <c r="G19" s="47"/>
    </row>
    <row r="20" spans="2:7" x14ac:dyDescent="0.25">
      <c r="B20" s="147"/>
      <c r="C20" s="147"/>
      <c r="D20" s="148"/>
      <c r="E20" s="47"/>
    </row>
    <row r="21" spans="2:7" x14ac:dyDescent="0.25">
      <c r="B21" s="147"/>
      <c r="C21" s="147"/>
      <c r="D21" s="148"/>
      <c r="E21" s="47"/>
    </row>
    <row r="22" spans="2:7" x14ac:dyDescent="0.25">
      <c r="C22" s="145"/>
      <c r="D22" s="147"/>
      <c r="E22" s="147"/>
      <c r="F22" s="148"/>
      <c r="G22" s="47"/>
    </row>
    <row r="23" spans="2:7" x14ac:dyDescent="0.25">
      <c r="C23" s="47"/>
      <c r="D23" s="47"/>
      <c r="E23" s="47"/>
      <c r="F23" s="47"/>
      <c r="G23" s="47"/>
    </row>
    <row r="24" spans="2:7" x14ac:dyDescent="0.25">
      <c r="C24" s="47"/>
      <c r="D24" s="47"/>
      <c r="E24" s="47"/>
      <c r="F24" s="47"/>
      <c r="G24" s="47"/>
    </row>
  </sheetData>
  <mergeCells count="1">
    <mergeCell ref="D14:F14"/>
  </mergeCells>
  <dataValidations count="2">
    <dataValidation type="list" allowBlank="1" showInputMessage="1" showErrorMessage="1" sqref="C12">
      <formula1>TCN</formula1>
    </dataValidation>
    <dataValidation type="list" allowBlank="1" showInputMessage="1" showErrorMessage="1" sqref="C13">
      <formula1>Ci</formula1>
    </dataValidation>
  </dataValidations>
  <hyperlinks>
    <hyperlink ref="B19" r:id="rId1"/>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election activeCell="G26" sqref="G26"/>
    </sheetView>
  </sheetViews>
  <sheetFormatPr defaultRowHeight="15" x14ac:dyDescent="0.25"/>
  <cols>
    <col min="1" max="1" width="3" style="71" bestFit="1" customWidth="1"/>
    <col min="2" max="2" width="34" customWidth="1"/>
    <col min="3" max="3" width="9.5703125" bestFit="1" customWidth="1"/>
    <col min="4" max="4" width="12.42578125" customWidth="1"/>
    <col min="5" max="5" width="10" bestFit="1" customWidth="1"/>
    <col min="6" max="6" width="7.42578125" bestFit="1" customWidth="1"/>
    <col min="7" max="7" width="12.5703125" customWidth="1"/>
    <col min="8" max="8" width="12.85546875" customWidth="1"/>
    <col min="9" max="9" width="12" customWidth="1"/>
    <col min="10" max="11" width="10.7109375" bestFit="1" customWidth="1"/>
    <col min="12" max="12" width="8" bestFit="1" customWidth="1"/>
    <col min="14" max="14" width="26.5703125" bestFit="1" customWidth="1"/>
  </cols>
  <sheetData>
    <row r="1" spans="1:13" s="15" customFormat="1" ht="19.5" customHeight="1" x14ac:dyDescent="0.25">
      <c r="A1" s="81"/>
      <c r="B1" s="348" t="s">
        <v>39</v>
      </c>
      <c r="C1" s="348"/>
      <c r="D1" s="348"/>
      <c r="E1" s="348"/>
      <c r="F1" s="348"/>
      <c r="G1" s="348"/>
      <c r="H1" s="348"/>
      <c r="I1" s="348"/>
      <c r="J1" s="348"/>
      <c r="K1" s="348"/>
      <c r="L1" s="348"/>
    </row>
    <row r="2" spans="1:13" s="15" customFormat="1" ht="12.75" customHeight="1" x14ac:dyDescent="0.25">
      <c r="A2" s="86"/>
      <c r="B2" s="349" t="s">
        <v>23</v>
      </c>
      <c r="C2" s="349"/>
      <c r="D2" s="349"/>
      <c r="E2" s="349"/>
      <c r="F2" s="349"/>
      <c r="G2" s="349"/>
      <c r="H2" s="349"/>
      <c r="I2" s="349"/>
      <c r="J2" s="349"/>
      <c r="K2" s="349"/>
      <c r="L2" s="349"/>
    </row>
    <row r="3" spans="1:13" s="15" customFormat="1" ht="19.5" customHeight="1" x14ac:dyDescent="0.25">
      <c r="A3" s="87"/>
      <c r="B3" s="70" t="s">
        <v>122</v>
      </c>
      <c r="C3" s="88">
        <f>SUM(C5:C68)</f>
        <v>4888.194887017873</v>
      </c>
      <c r="D3" s="88">
        <f t="shared" ref="D3:K3" si="0">SUM(D5:D68)</f>
        <v>56.346967642029512</v>
      </c>
      <c r="E3" s="88">
        <f t="shared" si="0"/>
        <v>2356.0408046291986</v>
      </c>
      <c r="F3" s="88">
        <f t="shared" si="0"/>
        <v>131.70095809281256</v>
      </c>
      <c r="G3" s="88">
        <f t="shared" si="0"/>
        <v>2959.5500413768036</v>
      </c>
      <c r="H3" s="88">
        <f t="shared" si="0"/>
        <v>586.15583653711974</v>
      </c>
      <c r="I3" s="88">
        <f>SUM(I5:I68)</f>
        <v>0</v>
      </c>
      <c r="J3" s="88">
        <f t="shared" si="0"/>
        <v>0</v>
      </c>
      <c r="K3" s="88">
        <f t="shared" si="0"/>
        <v>0</v>
      </c>
      <c r="L3" s="88">
        <f>SUM(L5:L68)</f>
        <v>10977.989495295837</v>
      </c>
    </row>
    <row r="4" spans="1:13" s="1" customFormat="1" ht="31.5" customHeight="1" x14ac:dyDescent="0.25">
      <c r="A4" s="89" t="s">
        <v>113</v>
      </c>
      <c r="B4" s="90" t="s">
        <v>0</v>
      </c>
      <c r="C4" s="91" t="s">
        <v>124</v>
      </c>
      <c r="D4" s="91" t="s">
        <v>116</v>
      </c>
      <c r="E4" s="91" t="s">
        <v>33</v>
      </c>
      <c r="F4" s="91" t="s">
        <v>34</v>
      </c>
      <c r="G4" s="91" t="s">
        <v>35</v>
      </c>
      <c r="H4" s="91" t="s">
        <v>36</v>
      </c>
      <c r="I4" s="91" t="s">
        <v>125</v>
      </c>
      <c r="J4" s="91" t="s">
        <v>117</v>
      </c>
      <c r="K4" s="92" t="s">
        <v>37</v>
      </c>
      <c r="L4" s="69" t="s">
        <v>114</v>
      </c>
    </row>
    <row r="5" spans="1:13" x14ac:dyDescent="0.25">
      <c r="A5" s="93">
        <v>1</v>
      </c>
      <c r="B5" s="296" t="s">
        <v>199</v>
      </c>
      <c r="C5" s="297">
        <v>1812.2967305926368</v>
      </c>
      <c r="D5" s="297">
        <v>18.881493777085883</v>
      </c>
      <c r="E5" s="297">
        <v>1228.1323083590798</v>
      </c>
      <c r="F5" s="297">
        <v>32.831525182140204</v>
      </c>
      <c r="G5" s="297">
        <v>1570.3323560257716</v>
      </c>
      <c r="H5" s="297">
        <v>265.7402650570254</v>
      </c>
      <c r="I5" s="156"/>
      <c r="J5" s="156"/>
      <c r="K5" s="156"/>
      <c r="L5" s="94">
        <f t="shared" ref="L5:L68" si="1">SUM(C5:K5)</f>
        <v>4928.2146789937397</v>
      </c>
    </row>
    <row r="6" spans="1:13" x14ac:dyDescent="0.25">
      <c r="A6" s="93">
        <v>2</v>
      </c>
      <c r="B6" s="296" t="s">
        <v>200</v>
      </c>
      <c r="C6" s="297">
        <v>1416.9541650529438</v>
      </c>
      <c r="D6" s="297">
        <v>4.312960076235842</v>
      </c>
      <c r="E6" s="297">
        <v>336.18379700918581</v>
      </c>
      <c r="F6" s="297">
        <v>11.104871423515455</v>
      </c>
      <c r="G6" s="297">
        <v>310.79579745878925</v>
      </c>
      <c r="H6" s="297">
        <v>116.58978314483213</v>
      </c>
      <c r="I6" s="156"/>
      <c r="J6" s="156"/>
      <c r="K6" s="156"/>
      <c r="L6" s="94">
        <f t="shared" si="1"/>
        <v>2195.9413741655021</v>
      </c>
    </row>
    <row r="7" spans="1:13" x14ac:dyDescent="0.25">
      <c r="A7" s="93">
        <v>3</v>
      </c>
      <c r="B7" s="296" t="s">
        <v>201</v>
      </c>
      <c r="C7" s="297">
        <v>13.865768807025427</v>
      </c>
      <c r="D7" s="297">
        <v>0.11391512519449543</v>
      </c>
      <c r="E7" s="297">
        <v>11.869412415601722</v>
      </c>
      <c r="F7" s="297">
        <v>0.69164519613751141</v>
      </c>
      <c r="G7" s="297">
        <v>12.131343072231147</v>
      </c>
      <c r="H7" s="297">
        <v>4.8783349275265255</v>
      </c>
      <c r="I7" s="156"/>
      <c r="J7" s="156"/>
      <c r="K7" s="156"/>
      <c r="L7" s="94">
        <f t="shared" si="1"/>
        <v>43.550419543716828</v>
      </c>
    </row>
    <row r="8" spans="1:13" x14ac:dyDescent="0.25">
      <c r="A8" s="93">
        <v>4</v>
      </c>
      <c r="B8" s="296" t="s">
        <v>202</v>
      </c>
      <c r="C8" s="297">
        <v>537.87830995442096</v>
      </c>
      <c r="D8" s="297">
        <v>13.583081381380087</v>
      </c>
      <c r="E8" s="297">
        <v>316.07715965137476</v>
      </c>
      <c r="F8" s="297">
        <v>20.158282175957805</v>
      </c>
      <c r="G8" s="297">
        <v>531.21489289152555</v>
      </c>
      <c r="H8" s="297">
        <v>106.67323674747792</v>
      </c>
      <c r="I8" s="156"/>
      <c r="J8" s="156"/>
      <c r="K8" s="156"/>
      <c r="L8" s="94">
        <f t="shared" si="1"/>
        <v>1525.5849628021369</v>
      </c>
    </row>
    <row r="9" spans="1:13" x14ac:dyDescent="0.25">
      <c r="A9" s="93">
        <v>5</v>
      </c>
      <c r="B9" s="296" t="s">
        <v>203</v>
      </c>
      <c r="C9" s="297">
        <v>586.0280835659147</v>
      </c>
      <c r="D9" s="297">
        <v>16.682017574577849</v>
      </c>
      <c r="E9" s="297">
        <v>206.33513344665079</v>
      </c>
      <c r="F9" s="297">
        <v>7.4153557309362554</v>
      </c>
      <c r="G9" s="297">
        <v>282.89276939596402</v>
      </c>
      <c r="H9" s="297">
        <v>24.973358378864397</v>
      </c>
      <c r="I9" s="156"/>
      <c r="J9" s="156"/>
      <c r="K9" s="156"/>
      <c r="L9" s="94">
        <f t="shared" si="1"/>
        <v>1124.3267180929079</v>
      </c>
    </row>
    <row r="10" spans="1:13" x14ac:dyDescent="0.25">
      <c r="A10" s="93">
        <v>6</v>
      </c>
      <c r="B10" s="296" t="s">
        <v>204</v>
      </c>
      <c r="C10" s="297">
        <v>248.64632445923883</v>
      </c>
      <c r="D10" s="297">
        <v>0.10106569675607079</v>
      </c>
      <c r="E10" s="297">
        <v>104.61312742264818</v>
      </c>
      <c r="F10" s="297">
        <v>14.329336648380902</v>
      </c>
      <c r="G10" s="297">
        <v>15.523592179975253</v>
      </c>
      <c r="H10" s="297">
        <v>10.780423355445233</v>
      </c>
      <c r="I10" s="156"/>
      <c r="J10" s="156"/>
      <c r="K10" s="156"/>
      <c r="L10" s="94">
        <f t="shared" si="1"/>
        <v>393.99386976244449</v>
      </c>
    </row>
    <row r="11" spans="1:13" x14ac:dyDescent="0.25">
      <c r="A11" s="93">
        <v>7</v>
      </c>
      <c r="B11" s="296" t="s">
        <v>205</v>
      </c>
      <c r="C11" s="297">
        <v>272.52550458569277</v>
      </c>
      <c r="D11" s="297">
        <v>2.6724340107992797</v>
      </c>
      <c r="E11" s="297">
        <v>152.8298663246575</v>
      </c>
      <c r="F11" s="297">
        <v>45.169941735744423</v>
      </c>
      <c r="G11" s="297">
        <v>236.65929035254683</v>
      </c>
      <c r="H11" s="297">
        <v>56.520434925948223</v>
      </c>
      <c r="I11" s="157"/>
      <c r="J11" s="157"/>
      <c r="K11" s="157"/>
      <c r="L11" s="94">
        <f t="shared" si="1"/>
        <v>766.37747193538917</v>
      </c>
      <c r="M11" s="51"/>
    </row>
    <row r="12" spans="1:13" x14ac:dyDescent="0.25">
      <c r="A12" s="93">
        <v>8</v>
      </c>
      <c r="B12" s="157"/>
      <c r="C12" s="157"/>
      <c r="D12" s="157"/>
      <c r="E12" s="157"/>
      <c r="F12" s="157"/>
      <c r="G12" s="157"/>
      <c r="H12" s="157"/>
      <c r="I12" s="157"/>
      <c r="J12" s="157"/>
      <c r="K12" s="157"/>
      <c r="L12" s="94">
        <f t="shared" si="1"/>
        <v>0</v>
      </c>
    </row>
    <row r="13" spans="1:13" x14ac:dyDescent="0.25">
      <c r="A13" s="93">
        <v>9</v>
      </c>
      <c r="B13" s="157"/>
      <c r="C13" s="157"/>
      <c r="D13" s="157"/>
      <c r="E13" s="157"/>
      <c r="F13" s="157"/>
      <c r="G13" s="157"/>
      <c r="H13" s="157"/>
      <c r="I13" s="157"/>
      <c r="J13" s="157"/>
      <c r="K13" s="157"/>
      <c r="L13" s="94">
        <f t="shared" si="1"/>
        <v>0</v>
      </c>
    </row>
    <row r="14" spans="1:13" x14ac:dyDescent="0.25">
      <c r="A14" s="93">
        <v>10</v>
      </c>
      <c r="B14" s="157"/>
      <c r="C14" s="157"/>
      <c r="D14" s="157"/>
      <c r="E14" s="157"/>
      <c r="F14" s="157"/>
      <c r="G14" s="157"/>
      <c r="H14" s="157"/>
      <c r="I14" s="157"/>
      <c r="J14" s="157"/>
      <c r="K14" s="157"/>
      <c r="L14" s="94">
        <f t="shared" si="1"/>
        <v>0</v>
      </c>
    </row>
    <row r="15" spans="1:13" x14ac:dyDescent="0.25">
      <c r="A15" s="93">
        <v>11</v>
      </c>
      <c r="B15" s="157"/>
      <c r="C15" s="157"/>
      <c r="D15" s="157"/>
      <c r="E15" s="157"/>
      <c r="F15" s="157"/>
      <c r="G15" s="157"/>
      <c r="H15" s="157"/>
      <c r="I15" s="157"/>
      <c r="J15" s="157"/>
      <c r="K15" s="157"/>
      <c r="L15" s="94">
        <f t="shared" si="1"/>
        <v>0</v>
      </c>
    </row>
    <row r="16" spans="1:13" x14ac:dyDescent="0.25">
      <c r="A16" s="93">
        <v>12</v>
      </c>
      <c r="B16" s="157"/>
      <c r="C16" s="157"/>
      <c r="D16" s="157"/>
      <c r="E16" s="157"/>
      <c r="F16" s="157"/>
      <c r="G16" s="157"/>
      <c r="H16" s="157"/>
      <c r="I16" s="157"/>
      <c r="J16" s="157"/>
      <c r="K16" s="157"/>
      <c r="L16" s="94">
        <f t="shared" si="1"/>
        <v>0</v>
      </c>
    </row>
    <row r="17" spans="1:12" x14ac:dyDescent="0.25">
      <c r="A17" s="93">
        <v>13</v>
      </c>
      <c r="B17" s="157"/>
      <c r="C17" s="157"/>
      <c r="D17" s="157"/>
      <c r="E17" s="157"/>
      <c r="F17" s="157"/>
      <c r="G17" s="157"/>
      <c r="H17" s="157"/>
      <c r="I17" s="157"/>
      <c r="J17" s="157"/>
      <c r="K17" s="157"/>
      <c r="L17" s="94">
        <f t="shared" si="1"/>
        <v>0</v>
      </c>
    </row>
    <row r="18" spans="1:12" x14ac:dyDescent="0.25">
      <c r="A18" s="93">
        <v>14</v>
      </c>
      <c r="B18" s="157"/>
      <c r="C18" s="157"/>
      <c r="D18" s="157"/>
      <c r="E18" s="157"/>
      <c r="F18" s="157"/>
      <c r="G18" s="157"/>
      <c r="H18" s="157"/>
      <c r="I18" s="157"/>
      <c r="J18" s="157"/>
      <c r="K18" s="157"/>
      <c r="L18" s="94">
        <f t="shared" si="1"/>
        <v>0</v>
      </c>
    </row>
    <row r="19" spans="1:12" x14ac:dyDescent="0.25">
      <c r="A19" s="93">
        <v>15</v>
      </c>
      <c r="B19" s="157"/>
      <c r="C19" s="157"/>
      <c r="D19" s="157"/>
      <c r="E19" s="157"/>
      <c r="F19" s="157"/>
      <c r="G19" s="157"/>
      <c r="H19" s="157"/>
      <c r="I19" s="157"/>
      <c r="J19" s="157"/>
      <c r="K19" s="157"/>
      <c r="L19" s="94">
        <f t="shared" si="1"/>
        <v>0</v>
      </c>
    </row>
    <row r="20" spans="1:12" x14ac:dyDescent="0.25">
      <c r="A20" s="93">
        <v>16</v>
      </c>
      <c r="B20" s="157"/>
      <c r="C20" s="157"/>
      <c r="D20" s="157"/>
      <c r="E20" s="157"/>
      <c r="F20" s="157"/>
      <c r="G20" s="157"/>
      <c r="H20" s="157"/>
      <c r="I20" s="157"/>
      <c r="J20" s="157"/>
      <c r="K20" s="157"/>
      <c r="L20" s="94">
        <f t="shared" si="1"/>
        <v>0</v>
      </c>
    </row>
    <row r="21" spans="1:12" x14ac:dyDescent="0.25">
      <c r="A21" s="93">
        <v>17</v>
      </c>
      <c r="B21" s="157"/>
      <c r="C21" s="157"/>
      <c r="D21" s="157"/>
      <c r="E21" s="157"/>
      <c r="F21" s="157"/>
      <c r="G21" s="157"/>
      <c r="H21" s="157"/>
      <c r="I21" s="157"/>
      <c r="J21" s="157"/>
      <c r="K21" s="157"/>
      <c r="L21" s="94">
        <f t="shared" si="1"/>
        <v>0</v>
      </c>
    </row>
    <row r="22" spans="1:12" x14ac:dyDescent="0.25">
      <c r="A22" s="93">
        <v>18</v>
      </c>
      <c r="B22" s="157"/>
      <c r="C22" s="157"/>
      <c r="D22" s="157"/>
      <c r="E22" s="157"/>
      <c r="F22" s="157"/>
      <c r="G22" s="157"/>
      <c r="H22" s="157"/>
      <c r="I22" s="157"/>
      <c r="J22" s="157"/>
      <c r="K22" s="157"/>
      <c r="L22" s="94">
        <f t="shared" si="1"/>
        <v>0</v>
      </c>
    </row>
    <row r="23" spans="1:12" x14ac:dyDescent="0.25">
      <c r="A23" s="93">
        <v>19</v>
      </c>
      <c r="B23" s="157"/>
      <c r="C23" s="157"/>
      <c r="D23" s="157"/>
      <c r="E23" s="157"/>
      <c r="F23" s="157"/>
      <c r="G23" s="157"/>
      <c r="H23" s="157"/>
      <c r="I23" s="157"/>
      <c r="J23" s="157"/>
      <c r="K23" s="157"/>
      <c r="L23" s="94">
        <f t="shared" si="1"/>
        <v>0</v>
      </c>
    </row>
    <row r="24" spans="1:12" x14ac:dyDescent="0.25">
      <c r="A24" s="93">
        <v>20</v>
      </c>
      <c r="B24" s="157"/>
      <c r="C24" s="157"/>
      <c r="D24" s="157"/>
      <c r="E24" s="157"/>
      <c r="F24" s="157"/>
      <c r="G24" s="157"/>
      <c r="H24" s="157"/>
      <c r="I24" s="157"/>
      <c r="J24" s="157"/>
      <c r="K24" s="157"/>
      <c r="L24" s="94">
        <f t="shared" si="1"/>
        <v>0</v>
      </c>
    </row>
    <row r="25" spans="1:12" x14ac:dyDescent="0.25">
      <c r="A25" s="93">
        <v>21</v>
      </c>
      <c r="B25" s="157"/>
      <c r="C25" s="157"/>
      <c r="D25" s="157"/>
      <c r="E25" s="157"/>
      <c r="F25" s="157"/>
      <c r="G25" s="157"/>
      <c r="H25" s="157"/>
      <c r="I25" s="157"/>
      <c r="J25" s="157"/>
      <c r="K25" s="157"/>
      <c r="L25" s="94">
        <f t="shared" si="1"/>
        <v>0</v>
      </c>
    </row>
    <row r="26" spans="1:12" x14ac:dyDescent="0.25">
      <c r="A26" s="93">
        <v>22</v>
      </c>
      <c r="B26" s="157"/>
      <c r="C26" s="157"/>
      <c r="D26" s="157"/>
      <c r="E26" s="157"/>
      <c r="F26" s="157"/>
      <c r="G26" s="157"/>
      <c r="H26" s="157"/>
      <c r="I26" s="157"/>
      <c r="J26" s="157"/>
      <c r="K26" s="157"/>
      <c r="L26" s="94">
        <f t="shared" si="1"/>
        <v>0</v>
      </c>
    </row>
    <row r="27" spans="1:12" x14ac:dyDescent="0.25">
      <c r="A27" s="93">
        <v>23</v>
      </c>
      <c r="B27" s="157"/>
      <c r="C27" s="157"/>
      <c r="D27" s="157"/>
      <c r="E27" s="157"/>
      <c r="F27" s="157"/>
      <c r="G27" s="157"/>
      <c r="H27" s="157"/>
      <c r="I27" s="157"/>
      <c r="J27" s="157"/>
      <c r="K27" s="157"/>
      <c r="L27" s="94">
        <f t="shared" si="1"/>
        <v>0</v>
      </c>
    </row>
    <row r="28" spans="1:12" x14ac:dyDescent="0.25">
      <c r="A28" s="93">
        <v>24</v>
      </c>
      <c r="B28" s="157"/>
      <c r="C28" s="157"/>
      <c r="D28" s="157"/>
      <c r="E28" s="157"/>
      <c r="F28" s="157"/>
      <c r="G28" s="157"/>
      <c r="H28" s="157"/>
      <c r="I28" s="157"/>
      <c r="J28" s="157"/>
      <c r="K28" s="157"/>
      <c r="L28" s="94">
        <f t="shared" si="1"/>
        <v>0</v>
      </c>
    </row>
    <row r="29" spans="1:12" x14ac:dyDescent="0.25">
      <c r="A29" s="93">
        <v>25</v>
      </c>
      <c r="B29" s="157"/>
      <c r="C29" s="157"/>
      <c r="D29" s="157"/>
      <c r="E29" s="157"/>
      <c r="F29" s="157"/>
      <c r="G29" s="157"/>
      <c r="H29" s="157"/>
      <c r="I29" s="157"/>
      <c r="J29" s="157"/>
      <c r="K29" s="157"/>
      <c r="L29" s="94">
        <f t="shared" si="1"/>
        <v>0</v>
      </c>
    </row>
    <row r="30" spans="1:12" x14ac:dyDescent="0.25">
      <c r="A30" s="93">
        <v>26</v>
      </c>
      <c r="B30" s="157"/>
      <c r="C30" s="157"/>
      <c r="D30" s="157"/>
      <c r="E30" s="157"/>
      <c r="F30" s="157"/>
      <c r="G30" s="157"/>
      <c r="H30" s="157"/>
      <c r="I30" s="157"/>
      <c r="J30" s="157"/>
      <c r="K30" s="157"/>
      <c r="L30" s="94">
        <f t="shared" si="1"/>
        <v>0</v>
      </c>
    </row>
    <row r="31" spans="1:12" x14ac:dyDescent="0.25">
      <c r="A31" s="93">
        <v>27</v>
      </c>
      <c r="B31" s="157"/>
      <c r="C31" s="157"/>
      <c r="D31" s="157"/>
      <c r="E31" s="157"/>
      <c r="F31" s="157"/>
      <c r="G31" s="157"/>
      <c r="H31" s="157"/>
      <c r="I31" s="157"/>
      <c r="J31" s="157"/>
      <c r="K31" s="157"/>
      <c r="L31" s="94">
        <f t="shared" si="1"/>
        <v>0</v>
      </c>
    </row>
    <row r="32" spans="1:12" x14ac:dyDescent="0.25">
      <c r="A32" s="93">
        <v>28</v>
      </c>
      <c r="B32" s="157"/>
      <c r="C32" s="157"/>
      <c r="D32" s="157"/>
      <c r="E32" s="157"/>
      <c r="F32" s="157"/>
      <c r="G32" s="157"/>
      <c r="H32" s="157"/>
      <c r="I32" s="157"/>
      <c r="J32" s="157"/>
      <c r="K32" s="157"/>
      <c r="L32" s="94">
        <f t="shared" si="1"/>
        <v>0</v>
      </c>
    </row>
    <row r="33" spans="1:12" x14ac:dyDescent="0.25">
      <c r="A33" s="93">
        <v>29</v>
      </c>
      <c r="B33" s="157"/>
      <c r="C33" s="157"/>
      <c r="D33" s="157"/>
      <c r="E33" s="157"/>
      <c r="F33" s="157"/>
      <c r="G33" s="157"/>
      <c r="H33" s="157"/>
      <c r="I33" s="157"/>
      <c r="J33" s="157"/>
      <c r="K33" s="157"/>
      <c r="L33" s="94">
        <f t="shared" si="1"/>
        <v>0</v>
      </c>
    </row>
    <row r="34" spans="1:12" x14ac:dyDescent="0.25">
      <c r="A34" s="93">
        <v>30</v>
      </c>
      <c r="B34" s="157"/>
      <c r="C34" s="157"/>
      <c r="D34" s="157"/>
      <c r="E34" s="157"/>
      <c r="F34" s="157"/>
      <c r="G34" s="157"/>
      <c r="H34" s="157"/>
      <c r="I34" s="157"/>
      <c r="J34" s="157"/>
      <c r="K34" s="157"/>
      <c r="L34" s="94">
        <f t="shared" si="1"/>
        <v>0</v>
      </c>
    </row>
    <row r="35" spans="1:12" x14ac:dyDescent="0.25">
      <c r="A35" s="93">
        <v>31</v>
      </c>
      <c r="B35" s="157"/>
      <c r="C35" s="157"/>
      <c r="D35" s="157"/>
      <c r="E35" s="157"/>
      <c r="F35" s="157"/>
      <c r="G35" s="157"/>
      <c r="H35" s="157"/>
      <c r="I35" s="157"/>
      <c r="J35" s="157"/>
      <c r="K35" s="157"/>
      <c r="L35" s="94">
        <f t="shared" si="1"/>
        <v>0</v>
      </c>
    </row>
    <row r="36" spans="1:12" x14ac:dyDescent="0.25">
      <c r="A36" s="93">
        <v>32</v>
      </c>
      <c r="B36" s="157"/>
      <c r="C36" s="157"/>
      <c r="D36" s="157"/>
      <c r="E36" s="157"/>
      <c r="F36" s="157"/>
      <c r="G36" s="157"/>
      <c r="H36" s="157"/>
      <c r="I36" s="157"/>
      <c r="J36" s="157"/>
      <c r="K36" s="157"/>
      <c r="L36" s="94">
        <f t="shared" si="1"/>
        <v>0</v>
      </c>
    </row>
    <row r="37" spans="1:12" x14ac:dyDescent="0.25">
      <c r="A37" s="93">
        <v>33</v>
      </c>
      <c r="B37" s="157"/>
      <c r="C37" s="157"/>
      <c r="D37" s="157"/>
      <c r="E37" s="157"/>
      <c r="F37" s="157"/>
      <c r="G37" s="157"/>
      <c r="H37" s="157"/>
      <c r="I37" s="157"/>
      <c r="J37" s="157"/>
      <c r="K37" s="157"/>
      <c r="L37" s="94">
        <f t="shared" si="1"/>
        <v>0</v>
      </c>
    </row>
    <row r="38" spans="1:12" x14ac:dyDescent="0.25">
      <c r="A38" s="93">
        <v>34</v>
      </c>
      <c r="B38" s="157"/>
      <c r="C38" s="157"/>
      <c r="D38" s="157"/>
      <c r="E38" s="157"/>
      <c r="F38" s="157"/>
      <c r="G38" s="157"/>
      <c r="H38" s="157"/>
      <c r="I38" s="157"/>
      <c r="J38" s="157"/>
      <c r="K38" s="157"/>
      <c r="L38" s="94">
        <f t="shared" si="1"/>
        <v>0</v>
      </c>
    </row>
    <row r="39" spans="1:12" x14ac:dyDescent="0.25">
      <c r="A39" s="93">
        <v>35</v>
      </c>
      <c r="B39" s="157"/>
      <c r="C39" s="157"/>
      <c r="D39" s="157"/>
      <c r="E39" s="157"/>
      <c r="F39" s="157"/>
      <c r="G39" s="157"/>
      <c r="H39" s="157"/>
      <c r="I39" s="157"/>
      <c r="J39" s="157"/>
      <c r="K39" s="157"/>
      <c r="L39" s="94">
        <f t="shared" si="1"/>
        <v>0</v>
      </c>
    </row>
    <row r="40" spans="1:12" x14ac:dyDescent="0.25">
      <c r="A40" s="93">
        <v>36</v>
      </c>
      <c r="B40" s="157"/>
      <c r="C40" s="157"/>
      <c r="D40" s="157"/>
      <c r="E40" s="157"/>
      <c r="F40" s="157"/>
      <c r="G40" s="157"/>
      <c r="H40" s="157"/>
      <c r="I40" s="157"/>
      <c r="J40" s="157"/>
      <c r="K40" s="157"/>
      <c r="L40" s="94">
        <f t="shared" si="1"/>
        <v>0</v>
      </c>
    </row>
    <row r="41" spans="1:12" x14ac:dyDescent="0.25">
      <c r="A41" s="93">
        <v>37</v>
      </c>
      <c r="B41" s="157"/>
      <c r="C41" s="157"/>
      <c r="D41" s="157"/>
      <c r="E41" s="157"/>
      <c r="F41" s="157"/>
      <c r="G41" s="157"/>
      <c r="H41" s="157"/>
      <c r="I41" s="157"/>
      <c r="J41" s="157"/>
      <c r="K41" s="157"/>
      <c r="L41" s="94">
        <f t="shared" si="1"/>
        <v>0</v>
      </c>
    </row>
    <row r="42" spans="1:12" x14ac:dyDescent="0.25">
      <c r="A42" s="93">
        <v>38</v>
      </c>
      <c r="B42" s="157"/>
      <c r="C42" s="157"/>
      <c r="D42" s="157"/>
      <c r="E42" s="157"/>
      <c r="F42" s="157"/>
      <c r="G42" s="157"/>
      <c r="H42" s="157"/>
      <c r="I42" s="157"/>
      <c r="J42" s="157"/>
      <c r="K42" s="157"/>
      <c r="L42" s="94">
        <f t="shared" si="1"/>
        <v>0</v>
      </c>
    </row>
    <row r="43" spans="1:12" x14ac:dyDescent="0.25">
      <c r="A43" s="93">
        <v>39</v>
      </c>
      <c r="B43" s="157"/>
      <c r="C43" s="157"/>
      <c r="D43" s="157"/>
      <c r="E43" s="157"/>
      <c r="F43" s="157"/>
      <c r="G43" s="157"/>
      <c r="H43" s="157"/>
      <c r="I43" s="157"/>
      <c r="J43" s="157"/>
      <c r="K43" s="157"/>
      <c r="L43" s="94">
        <f t="shared" si="1"/>
        <v>0</v>
      </c>
    </row>
    <row r="44" spans="1:12" x14ac:dyDescent="0.25">
      <c r="A44" s="93">
        <v>40</v>
      </c>
      <c r="B44" s="157"/>
      <c r="C44" s="157"/>
      <c r="D44" s="157"/>
      <c r="E44" s="157"/>
      <c r="F44" s="157"/>
      <c r="G44" s="157"/>
      <c r="H44" s="157"/>
      <c r="I44" s="157"/>
      <c r="J44" s="157"/>
      <c r="K44" s="157"/>
      <c r="L44" s="94">
        <f t="shared" si="1"/>
        <v>0</v>
      </c>
    </row>
    <row r="45" spans="1:12" x14ac:dyDescent="0.25">
      <c r="A45" s="93">
        <v>41</v>
      </c>
      <c r="B45" s="157"/>
      <c r="C45" s="157"/>
      <c r="D45" s="157"/>
      <c r="E45" s="157"/>
      <c r="F45" s="157"/>
      <c r="G45" s="157"/>
      <c r="H45" s="157"/>
      <c r="I45" s="157"/>
      <c r="J45" s="157"/>
      <c r="K45" s="157"/>
      <c r="L45" s="94">
        <f t="shared" si="1"/>
        <v>0</v>
      </c>
    </row>
    <row r="46" spans="1:12" x14ac:dyDescent="0.25">
      <c r="A46" s="93">
        <v>42</v>
      </c>
      <c r="B46" s="157"/>
      <c r="C46" s="157"/>
      <c r="D46" s="157"/>
      <c r="E46" s="157"/>
      <c r="F46" s="157"/>
      <c r="G46" s="157"/>
      <c r="H46" s="157"/>
      <c r="I46" s="157"/>
      <c r="J46" s="157"/>
      <c r="K46" s="157"/>
      <c r="L46" s="94">
        <f t="shared" si="1"/>
        <v>0</v>
      </c>
    </row>
    <row r="47" spans="1:12" x14ac:dyDescent="0.25">
      <c r="A47" s="93">
        <v>43</v>
      </c>
      <c r="B47" s="157"/>
      <c r="C47" s="157"/>
      <c r="D47" s="157"/>
      <c r="E47" s="157"/>
      <c r="F47" s="157"/>
      <c r="G47" s="157"/>
      <c r="H47" s="157"/>
      <c r="I47" s="157"/>
      <c r="J47" s="157"/>
      <c r="K47" s="157"/>
      <c r="L47" s="94">
        <f t="shared" si="1"/>
        <v>0</v>
      </c>
    </row>
    <row r="48" spans="1:12" x14ac:dyDescent="0.25">
      <c r="A48" s="93">
        <v>44</v>
      </c>
      <c r="B48" s="157"/>
      <c r="C48" s="157"/>
      <c r="D48" s="157"/>
      <c r="E48" s="157"/>
      <c r="F48" s="157"/>
      <c r="G48" s="157"/>
      <c r="H48" s="157"/>
      <c r="I48" s="157"/>
      <c r="J48" s="157"/>
      <c r="K48" s="157"/>
      <c r="L48" s="94">
        <f t="shared" si="1"/>
        <v>0</v>
      </c>
    </row>
    <row r="49" spans="1:12" x14ac:dyDescent="0.25">
      <c r="A49" s="93">
        <v>45</v>
      </c>
      <c r="B49" s="157"/>
      <c r="C49" s="157"/>
      <c r="D49" s="157"/>
      <c r="E49" s="157"/>
      <c r="F49" s="157"/>
      <c r="G49" s="157"/>
      <c r="H49" s="157"/>
      <c r="I49" s="157"/>
      <c r="J49" s="157"/>
      <c r="K49" s="157"/>
      <c r="L49" s="94">
        <f t="shared" si="1"/>
        <v>0</v>
      </c>
    </row>
    <row r="50" spans="1:12" x14ac:dyDescent="0.25">
      <c r="A50" s="93">
        <v>46</v>
      </c>
      <c r="B50" s="157"/>
      <c r="C50" s="157"/>
      <c r="D50" s="157"/>
      <c r="E50" s="157"/>
      <c r="F50" s="157"/>
      <c r="G50" s="157"/>
      <c r="H50" s="157"/>
      <c r="I50" s="157"/>
      <c r="J50" s="157"/>
      <c r="K50" s="157"/>
      <c r="L50" s="94">
        <f t="shared" si="1"/>
        <v>0</v>
      </c>
    </row>
    <row r="51" spans="1:12" x14ac:dyDescent="0.25">
      <c r="A51" s="93">
        <v>47</v>
      </c>
      <c r="B51" s="157"/>
      <c r="C51" s="157"/>
      <c r="D51" s="157"/>
      <c r="E51" s="157"/>
      <c r="F51" s="157"/>
      <c r="G51" s="157"/>
      <c r="H51" s="157"/>
      <c r="I51" s="157"/>
      <c r="J51" s="157"/>
      <c r="K51" s="157"/>
      <c r="L51" s="94">
        <f t="shared" si="1"/>
        <v>0</v>
      </c>
    </row>
    <row r="52" spans="1:12" x14ac:dyDescent="0.25">
      <c r="A52" s="93">
        <v>48</v>
      </c>
      <c r="B52" s="157"/>
      <c r="C52" s="157"/>
      <c r="D52" s="157"/>
      <c r="E52" s="157"/>
      <c r="F52" s="157"/>
      <c r="G52" s="157"/>
      <c r="H52" s="157"/>
      <c r="I52" s="157"/>
      <c r="J52" s="157"/>
      <c r="K52" s="157"/>
      <c r="L52" s="94">
        <f t="shared" si="1"/>
        <v>0</v>
      </c>
    </row>
    <row r="53" spans="1:12" x14ac:dyDescent="0.25">
      <c r="A53" s="93">
        <v>49</v>
      </c>
      <c r="B53" s="157"/>
      <c r="C53" s="157"/>
      <c r="D53" s="157"/>
      <c r="E53" s="157"/>
      <c r="F53" s="157"/>
      <c r="G53" s="157"/>
      <c r="H53" s="157"/>
      <c r="I53" s="157"/>
      <c r="J53" s="157"/>
      <c r="K53" s="157"/>
      <c r="L53" s="94">
        <f t="shared" si="1"/>
        <v>0</v>
      </c>
    </row>
    <row r="54" spans="1:12" x14ac:dyDescent="0.25">
      <c r="A54" s="93">
        <v>50</v>
      </c>
      <c r="B54" s="157"/>
      <c r="C54" s="157"/>
      <c r="D54" s="157"/>
      <c r="E54" s="157"/>
      <c r="F54" s="157"/>
      <c r="G54" s="157"/>
      <c r="H54" s="157"/>
      <c r="I54" s="157"/>
      <c r="J54" s="157"/>
      <c r="K54" s="157"/>
      <c r="L54" s="94">
        <f t="shared" si="1"/>
        <v>0</v>
      </c>
    </row>
    <row r="55" spans="1:12" x14ac:dyDescent="0.25">
      <c r="A55" s="93">
        <v>51</v>
      </c>
      <c r="B55" s="157"/>
      <c r="C55" s="157"/>
      <c r="D55" s="157"/>
      <c r="E55" s="157"/>
      <c r="F55" s="157"/>
      <c r="G55" s="157"/>
      <c r="H55" s="157"/>
      <c r="I55" s="157"/>
      <c r="J55" s="157"/>
      <c r="K55" s="157"/>
      <c r="L55" s="94">
        <f t="shared" si="1"/>
        <v>0</v>
      </c>
    </row>
    <row r="56" spans="1:12" x14ac:dyDescent="0.25">
      <c r="A56" s="93">
        <v>52</v>
      </c>
      <c r="B56" s="157"/>
      <c r="C56" s="157"/>
      <c r="D56" s="157"/>
      <c r="E56" s="157"/>
      <c r="F56" s="157"/>
      <c r="G56" s="157"/>
      <c r="H56" s="157"/>
      <c r="I56" s="157"/>
      <c r="J56" s="157"/>
      <c r="K56" s="157"/>
      <c r="L56" s="94">
        <f t="shared" si="1"/>
        <v>0</v>
      </c>
    </row>
    <row r="57" spans="1:12" x14ac:dyDescent="0.25">
      <c r="A57" s="93">
        <v>53</v>
      </c>
      <c r="B57" s="157"/>
      <c r="C57" s="157"/>
      <c r="D57" s="157"/>
      <c r="E57" s="157"/>
      <c r="F57" s="157"/>
      <c r="G57" s="157"/>
      <c r="H57" s="157"/>
      <c r="I57" s="157"/>
      <c r="J57" s="157"/>
      <c r="K57" s="157"/>
      <c r="L57" s="94">
        <f t="shared" si="1"/>
        <v>0</v>
      </c>
    </row>
    <row r="58" spans="1:12" x14ac:dyDescent="0.25">
      <c r="A58" s="93">
        <v>54</v>
      </c>
      <c r="B58" s="157"/>
      <c r="C58" s="157"/>
      <c r="D58" s="157"/>
      <c r="E58" s="157"/>
      <c r="F58" s="157"/>
      <c r="G58" s="157"/>
      <c r="H58" s="157"/>
      <c r="I58" s="157"/>
      <c r="J58" s="157"/>
      <c r="K58" s="157"/>
      <c r="L58" s="94">
        <f t="shared" si="1"/>
        <v>0</v>
      </c>
    </row>
    <row r="59" spans="1:12" x14ac:dyDescent="0.25">
      <c r="A59" s="93">
        <v>55</v>
      </c>
      <c r="B59" s="157"/>
      <c r="C59" s="157"/>
      <c r="D59" s="157"/>
      <c r="E59" s="157"/>
      <c r="F59" s="157"/>
      <c r="G59" s="157"/>
      <c r="H59" s="157"/>
      <c r="I59" s="157"/>
      <c r="J59" s="157"/>
      <c r="K59" s="157"/>
      <c r="L59" s="94">
        <f t="shared" si="1"/>
        <v>0</v>
      </c>
    </row>
    <row r="60" spans="1:12" x14ac:dyDescent="0.25">
      <c r="A60" s="93">
        <v>56</v>
      </c>
      <c r="B60" s="157"/>
      <c r="C60" s="157"/>
      <c r="D60" s="157"/>
      <c r="E60" s="157"/>
      <c r="F60" s="157"/>
      <c r="G60" s="157"/>
      <c r="H60" s="157"/>
      <c r="I60" s="157"/>
      <c r="J60" s="157"/>
      <c r="K60" s="157"/>
      <c r="L60" s="94">
        <f t="shared" si="1"/>
        <v>0</v>
      </c>
    </row>
    <row r="61" spans="1:12" x14ac:dyDescent="0.25">
      <c r="A61" s="93">
        <v>57</v>
      </c>
      <c r="B61" s="157"/>
      <c r="C61" s="157"/>
      <c r="D61" s="157"/>
      <c r="E61" s="157"/>
      <c r="F61" s="157"/>
      <c r="G61" s="157"/>
      <c r="H61" s="157"/>
      <c r="I61" s="157"/>
      <c r="J61" s="157"/>
      <c r="K61" s="157"/>
      <c r="L61" s="94">
        <f t="shared" si="1"/>
        <v>0</v>
      </c>
    </row>
    <row r="62" spans="1:12" x14ac:dyDescent="0.25">
      <c r="A62" s="93">
        <v>58</v>
      </c>
      <c r="B62" s="157"/>
      <c r="C62" s="157"/>
      <c r="D62" s="157"/>
      <c r="E62" s="157"/>
      <c r="F62" s="157"/>
      <c r="G62" s="157"/>
      <c r="H62" s="157"/>
      <c r="I62" s="157"/>
      <c r="J62" s="157"/>
      <c r="K62" s="157"/>
      <c r="L62" s="94">
        <f t="shared" si="1"/>
        <v>0</v>
      </c>
    </row>
    <row r="63" spans="1:12" x14ac:dyDescent="0.25">
      <c r="A63" s="93">
        <v>59</v>
      </c>
      <c r="B63" s="157"/>
      <c r="C63" s="157"/>
      <c r="D63" s="157"/>
      <c r="E63" s="157"/>
      <c r="F63" s="157"/>
      <c r="G63" s="157"/>
      <c r="H63" s="157"/>
      <c r="I63" s="157"/>
      <c r="J63" s="157"/>
      <c r="K63" s="157"/>
      <c r="L63" s="94">
        <f t="shared" si="1"/>
        <v>0</v>
      </c>
    </row>
    <row r="64" spans="1:12" x14ac:dyDescent="0.25">
      <c r="A64" s="93">
        <v>60</v>
      </c>
      <c r="B64" s="157"/>
      <c r="C64" s="157"/>
      <c r="D64" s="157"/>
      <c r="E64" s="157"/>
      <c r="F64" s="157"/>
      <c r="G64" s="157"/>
      <c r="H64" s="157"/>
      <c r="I64" s="157"/>
      <c r="J64" s="157"/>
      <c r="K64" s="157"/>
      <c r="L64" s="94">
        <f t="shared" si="1"/>
        <v>0</v>
      </c>
    </row>
    <row r="65" spans="1:12" x14ac:dyDescent="0.25">
      <c r="A65" s="93">
        <v>61</v>
      </c>
      <c r="B65" s="157"/>
      <c r="C65" s="157"/>
      <c r="D65" s="157"/>
      <c r="E65" s="157"/>
      <c r="F65" s="157"/>
      <c r="G65" s="157"/>
      <c r="H65" s="157"/>
      <c r="I65" s="157"/>
      <c r="J65" s="157"/>
      <c r="K65" s="157"/>
      <c r="L65" s="94">
        <f t="shared" si="1"/>
        <v>0</v>
      </c>
    </row>
    <row r="66" spans="1:12" x14ac:dyDescent="0.25">
      <c r="A66" s="93">
        <v>62</v>
      </c>
      <c r="B66" s="157"/>
      <c r="C66" s="157"/>
      <c r="D66" s="157"/>
      <c r="E66" s="157"/>
      <c r="F66" s="157"/>
      <c r="G66" s="157"/>
      <c r="H66" s="157"/>
      <c r="I66" s="157"/>
      <c r="J66" s="157"/>
      <c r="K66" s="157"/>
      <c r="L66" s="94">
        <f t="shared" si="1"/>
        <v>0</v>
      </c>
    </row>
    <row r="67" spans="1:12" x14ac:dyDescent="0.25">
      <c r="A67" s="93">
        <v>63</v>
      </c>
      <c r="B67" s="157"/>
      <c r="C67" s="157"/>
      <c r="D67" s="157"/>
      <c r="E67" s="157"/>
      <c r="F67" s="157"/>
      <c r="G67" s="157"/>
      <c r="H67" s="157"/>
      <c r="I67" s="157"/>
      <c r="J67" s="157"/>
      <c r="K67" s="157"/>
      <c r="L67" s="94">
        <f t="shared" si="1"/>
        <v>0</v>
      </c>
    </row>
    <row r="68" spans="1:12" x14ac:dyDescent="0.25">
      <c r="A68" s="93">
        <v>64</v>
      </c>
      <c r="B68" s="157"/>
      <c r="C68" s="157"/>
      <c r="D68" s="157"/>
      <c r="E68" s="157"/>
      <c r="F68" s="157"/>
      <c r="G68" s="157"/>
      <c r="H68" s="157"/>
      <c r="I68" s="157"/>
      <c r="J68" s="157"/>
      <c r="K68" s="157"/>
      <c r="L68" s="95">
        <f t="shared" si="1"/>
        <v>0</v>
      </c>
    </row>
    <row r="69" spans="1:12" x14ac:dyDescent="0.25">
      <c r="A69" s="87"/>
      <c r="B69" s="97"/>
      <c r="C69" s="97"/>
      <c r="D69" s="97"/>
      <c r="E69" s="97"/>
      <c r="F69" s="97"/>
      <c r="G69" s="97"/>
      <c r="H69" s="97"/>
      <c r="I69" s="97"/>
      <c r="J69" s="97"/>
      <c r="K69" s="97"/>
      <c r="L69" s="96"/>
    </row>
  </sheetData>
  <mergeCells count="2">
    <mergeCell ref="B1:L1"/>
    <mergeCell ref="B2:L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workbookViewId="0">
      <selection activeCell="N11" sqref="N11"/>
    </sheetView>
  </sheetViews>
  <sheetFormatPr defaultRowHeight="15" x14ac:dyDescent="0.25"/>
  <cols>
    <col min="1" max="1" width="3" bestFit="1" customWidth="1"/>
    <col min="2" max="2" width="29.7109375" customWidth="1"/>
    <col min="3" max="3" width="10.5703125" bestFit="1" customWidth="1"/>
    <col min="4" max="4" width="12.7109375" customWidth="1"/>
    <col min="5" max="5" width="12.140625" customWidth="1"/>
    <col min="6" max="6" width="11.7109375" customWidth="1"/>
    <col min="7" max="8" width="12" bestFit="1" customWidth="1"/>
    <col min="9" max="10" width="12" customWidth="1"/>
    <col min="11" max="11" width="12.140625" bestFit="1" customWidth="1"/>
    <col min="12" max="12" width="12.28515625" bestFit="1" customWidth="1"/>
    <col min="13" max="13" width="12" bestFit="1" customWidth="1"/>
    <col min="14" max="14" width="10.5703125" bestFit="1" customWidth="1"/>
  </cols>
  <sheetData>
    <row r="1" spans="1:15" s="15" customFormat="1" ht="19.5" customHeight="1" x14ac:dyDescent="0.25">
      <c r="A1" s="82"/>
      <c r="B1" s="350" t="s">
        <v>123</v>
      </c>
      <c r="C1" s="350"/>
      <c r="D1" s="350"/>
      <c r="E1" s="350"/>
      <c r="F1" s="350"/>
      <c r="G1" s="350"/>
      <c r="H1" s="350"/>
      <c r="I1" s="350"/>
      <c r="J1" s="350"/>
      <c r="K1" s="350"/>
      <c r="L1" s="350"/>
    </row>
    <row r="2" spans="1:15" s="15" customFormat="1" ht="12.75" customHeight="1" x14ac:dyDescent="0.25">
      <c r="A2" s="72"/>
      <c r="B2" s="351" t="s">
        <v>23</v>
      </c>
      <c r="C2" s="351"/>
      <c r="D2" s="351"/>
      <c r="E2" s="351"/>
      <c r="F2" s="351"/>
      <c r="G2" s="351"/>
      <c r="H2" s="351"/>
      <c r="I2" s="351"/>
      <c r="J2" s="351"/>
      <c r="K2" s="351"/>
      <c r="L2" s="351"/>
    </row>
    <row r="3" spans="1:15" s="15" customFormat="1" ht="12.75" customHeight="1" x14ac:dyDescent="0.25">
      <c r="A3" s="73"/>
      <c r="B3" s="74" t="s">
        <v>122</v>
      </c>
      <c r="C3" s="76">
        <f>SUM(C5:C68)</f>
        <v>6224.1296992006546</v>
      </c>
      <c r="D3" s="76">
        <f t="shared" ref="D3:K3" si="0">SUM(D5:D68)</f>
        <v>258.09979722402369</v>
      </c>
      <c r="E3" s="76">
        <f t="shared" si="0"/>
        <v>1020.105992446418</v>
      </c>
      <c r="F3" s="76">
        <f t="shared" si="0"/>
        <v>131.70095809281256</v>
      </c>
      <c r="G3" s="76">
        <f t="shared" si="0"/>
        <v>2757.7972117948098</v>
      </c>
      <c r="H3" s="76">
        <f t="shared" si="0"/>
        <v>586.15583653711974</v>
      </c>
      <c r="I3" s="76">
        <f>SUM(I5:I68)</f>
        <v>0</v>
      </c>
      <c r="J3" s="76">
        <f t="shared" si="0"/>
        <v>0</v>
      </c>
      <c r="K3" s="76">
        <f t="shared" si="0"/>
        <v>0</v>
      </c>
      <c r="L3" s="76">
        <f>SUM(L5:L68)</f>
        <v>10977.989495295837</v>
      </c>
    </row>
    <row r="4" spans="1:15" s="1" customFormat="1" ht="30" x14ac:dyDescent="0.25">
      <c r="A4" s="79" t="s">
        <v>113</v>
      </c>
      <c r="B4" s="84" t="s">
        <v>0</v>
      </c>
      <c r="C4" s="85" t="s">
        <v>124</v>
      </c>
      <c r="D4" s="85" t="s">
        <v>116</v>
      </c>
      <c r="E4" s="85" t="s">
        <v>33</v>
      </c>
      <c r="F4" s="85" t="s">
        <v>34</v>
      </c>
      <c r="G4" s="85" t="s">
        <v>35</v>
      </c>
      <c r="H4" s="85" t="s">
        <v>36</v>
      </c>
      <c r="I4" s="85" t="s">
        <v>115</v>
      </c>
      <c r="J4" s="85" t="s">
        <v>117</v>
      </c>
      <c r="K4" s="101" t="s">
        <v>37</v>
      </c>
      <c r="L4" s="83" t="s">
        <v>114</v>
      </c>
      <c r="M4" s="15"/>
      <c r="N4" s="15"/>
      <c r="O4" s="15"/>
    </row>
    <row r="5" spans="1:15" x14ac:dyDescent="0.25">
      <c r="A5" s="80">
        <v>1</v>
      </c>
      <c r="B5" s="155" t="s">
        <v>199</v>
      </c>
      <c r="C5" s="156">
        <v>2478.2803826166487</v>
      </c>
      <c r="D5" s="156">
        <v>135.39912243914841</v>
      </c>
      <c r="E5" s="156">
        <v>562.1486563350677</v>
      </c>
      <c r="F5" s="156">
        <v>32.831525182140204</v>
      </c>
      <c r="G5" s="156">
        <v>1453.8147273637092</v>
      </c>
      <c r="H5" s="156">
        <v>265.7402650570254</v>
      </c>
      <c r="I5" s="156"/>
      <c r="J5" s="156"/>
      <c r="K5" s="156"/>
      <c r="L5" s="102">
        <f t="shared" ref="L5:L68" si="1">SUM(C5:K5)</f>
        <v>4928.2146789937397</v>
      </c>
      <c r="M5" s="15"/>
      <c r="N5" s="15"/>
      <c r="O5" s="15"/>
    </row>
    <row r="6" spans="1:15" x14ac:dyDescent="0.25">
      <c r="A6" s="80">
        <v>2</v>
      </c>
      <c r="B6" s="155" t="s">
        <v>200</v>
      </c>
      <c r="C6" s="156">
        <v>1642.6321361784987</v>
      </c>
      <c r="D6" s="156">
        <v>28.168171076564249</v>
      </c>
      <c r="E6" s="156">
        <v>110.5058258836311</v>
      </c>
      <c r="F6" s="156">
        <v>11.104871423515455</v>
      </c>
      <c r="G6" s="156">
        <v>286.94058645846081</v>
      </c>
      <c r="H6" s="156">
        <v>116.58978314483213</v>
      </c>
      <c r="I6" s="156"/>
      <c r="J6" s="156"/>
      <c r="K6" s="156"/>
      <c r="L6" s="102">
        <f t="shared" si="1"/>
        <v>2195.9413741655026</v>
      </c>
    </row>
    <row r="7" spans="1:15" x14ac:dyDescent="0.25">
      <c r="A7" s="80">
        <v>3</v>
      </c>
      <c r="B7" s="155" t="s">
        <v>201</v>
      </c>
      <c r="C7" s="156">
        <v>21.579873749155055</v>
      </c>
      <c r="D7" s="156">
        <v>1.0113982807398476</v>
      </c>
      <c r="E7" s="156">
        <v>4.1553074734720941</v>
      </c>
      <c r="F7" s="156">
        <v>0.69164519613751141</v>
      </c>
      <c r="G7" s="156">
        <v>11.233859916685795</v>
      </c>
      <c r="H7" s="156">
        <v>4.8783349275265255</v>
      </c>
      <c r="I7" s="156"/>
      <c r="J7" s="156"/>
      <c r="K7" s="156"/>
      <c r="L7" s="102">
        <f t="shared" si="1"/>
        <v>43.550419543716828</v>
      </c>
    </row>
    <row r="8" spans="1:15" x14ac:dyDescent="0.25">
      <c r="A8" s="80">
        <v>4</v>
      </c>
      <c r="B8" s="155" t="s">
        <v>202</v>
      </c>
      <c r="C8" s="156">
        <v>720.73037161667162</v>
      </c>
      <c r="D8" s="156">
        <v>42.468102302172596</v>
      </c>
      <c r="E8" s="156">
        <v>133.22509798912415</v>
      </c>
      <c r="F8" s="156">
        <v>20.158282175957805</v>
      </c>
      <c r="G8" s="156">
        <v>502.32987197073305</v>
      </c>
      <c r="H8" s="156">
        <v>106.67323674747792</v>
      </c>
      <c r="I8" s="156"/>
      <c r="J8" s="156"/>
      <c r="K8" s="156"/>
      <c r="L8" s="102">
        <f t="shared" si="1"/>
        <v>1525.5849628021369</v>
      </c>
    </row>
    <row r="9" spans="1:15" x14ac:dyDescent="0.25">
      <c r="A9" s="80">
        <v>5</v>
      </c>
      <c r="B9" s="155" t="s">
        <v>203</v>
      </c>
      <c r="C9" s="156">
        <v>681.62066512039564</v>
      </c>
      <c r="D9" s="156">
        <v>32.395633032805954</v>
      </c>
      <c r="E9" s="156">
        <v>110.74255189216977</v>
      </c>
      <c r="F9" s="156">
        <v>7.4153557309362554</v>
      </c>
      <c r="G9" s="156">
        <v>267.17915393773586</v>
      </c>
      <c r="H9" s="156">
        <v>24.973358378864397</v>
      </c>
      <c r="I9" s="156"/>
      <c r="J9" s="156"/>
      <c r="K9" s="156"/>
      <c r="L9" s="102">
        <f t="shared" si="1"/>
        <v>1124.3267180929079</v>
      </c>
    </row>
    <row r="10" spans="1:15" x14ac:dyDescent="0.25">
      <c r="A10" s="80">
        <v>6</v>
      </c>
      <c r="B10" s="155" t="s">
        <v>204</v>
      </c>
      <c r="C10" s="156">
        <v>322.02076161732538</v>
      </c>
      <c r="D10" s="156">
        <v>1.8228891075049738</v>
      </c>
      <c r="E10" s="156">
        <v>31.23869026456164</v>
      </c>
      <c r="F10" s="156">
        <v>14.329336648380902</v>
      </c>
      <c r="G10" s="156">
        <v>13.801768769226353</v>
      </c>
      <c r="H10" s="156">
        <v>10.780423355445233</v>
      </c>
      <c r="I10" s="156"/>
      <c r="J10" s="156"/>
      <c r="K10" s="156"/>
      <c r="L10" s="102">
        <f t="shared" si="1"/>
        <v>393.99386976244443</v>
      </c>
    </row>
    <row r="11" spans="1:15" x14ac:dyDescent="0.25">
      <c r="A11" s="80">
        <v>7</v>
      </c>
      <c r="B11" s="155" t="s">
        <v>205</v>
      </c>
      <c r="C11" s="156">
        <v>357.2655083019589</v>
      </c>
      <c r="D11" s="156">
        <v>16.834480985087616</v>
      </c>
      <c r="E11" s="156">
        <v>68.089862608391343</v>
      </c>
      <c r="F11" s="156">
        <v>45.169941735744423</v>
      </c>
      <c r="G11" s="156">
        <v>222.4972433782585</v>
      </c>
      <c r="H11" s="156">
        <v>56.520434925948223</v>
      </c>
      <c r="I11" s="156"/>
      <c r="J11" s="156"/>
      <c r="K11" s="156"/>
      <c r="L11" s="102">
        <f t="shared" si="1"/>
        <v>766.37747193538894</v>
      </c>
    </row>
    <row r="12" spans="1:15" x14ac:dyDescent="0.25">
      <c r="A12" s="80">
        <v>8</v>
      </c>
      <c r="B12" s="155"/>
      <c r="C12" s="156"/>
      <c r="D12" s="156"/>
      <c r="E12" s="156"/>
      <c r="F12" s="156"/>
      <c r="G12" s="156"/>
      <c r="H12" s="156"/>
      <c r="I12" s="156"/>
      <c r="J12" s="156"/>
      <c r="K12" s="156"/>
      <c r="L12" s="102">
        <f t="shared" si="1"/>
        <v>0</v>
      </c>
    </row>
    <row r="13" spans="1:15" x14ac:dyDescent="0.25">
      <c r="A13" s="80">
        <v>9</v>
      </c>
      <c r="B13" s="155"/>
      <c r="C13" s="156"/>
      <c r="D13" s="156"/>
      <c r="E13" s="156"/>
      <c r="F13" s="156"/>
      <c r="G13" s="156"/>
      <c r="H13" s="156"/>
      <c r="I13" s="156"/>
      <c r="J13" s="156"/>
      <c r="K13" s="156"/>
      <c r="L13" s="102">
        <f t="shared" si="1"/>
        <v>0</v>
      </c>
    </row>
    <row r="14" spans="1:15" x14ac:dyDescent="0.25">
      <c r="A14" s="80">
        <v>10</v>
      </c>
      <c r="B14" s="155"/>
      <c r="C14" s="156"/>
      <c r="D14" s="156"/>
      <c r="E14" s="156"/>
      <c r="F14" s="156"/>
      <c r="G14" s="156"/>
      <c r="H14" s="156"/>
      <c r="I14" s="156"/>
      <c r="J14" s="156"/>
      <c r="K14" s="156"/>
      <c r="L14" s="102">
        <f t="shared" si="1"/>
        <v>0</v>
      </c>
    </row>
    <row r="15" spans="1:15" x14ac:dyDescent="0.25">
      <c r="A15" s="80">
        <v>11</v>
      </c>
      <c r="B15" s="155"/>
      <c r="C15" s="156"/>
      <c r="D15" s="156"/>
      <c r="E15" s="156"/>
      <c r="F15" s="156"/>
      <c r="G15" s="156"/>
      <c r="H15" s="156"/>
      <c r="I15" s="156"/>
      <c r="J15" s="156"/>
      <c r="K15" s="156"/>
      <c r="L15" s="102">
        <f t="shared" si="1"/>
        <v>0</v>
      </c>
    </row>
    <row r="16" spans="1:15" x14ac:dyDescent="0.25">
      <c r="A16" s="80">
        <v>12</v>
      </c>
      <c r="B16" s="155"/>
      <c r="C16" s="156"/>
      <c r="D16" s="156"/>
      <c r="E16" s="156"/>
      <c r="F16" s="156"/>
      <c r="G16" s="156"/>
      <c r="H16" s="156"/>
      <c r="I16" s="156"/>
      <c r="J16" s="156"/>
      <c r="K16" s="156"/>
      <c r="L16" s="102">
        <f t="shared" si="1"/>
        <v>0</v>
      </c>
    </row>
    <row r="17" spans="1:12" x14ac:dyDescent="0.25">
      <c r="A17" s="80">
        <v>13</v>
      </c>
      <c r="B17" s="155"/>
      <c r="C17" s="156"/>
      <c r="D17" s="156"/>
      <c r="E17" s="156"/>
      <c r="F17" s="156"/>
      <c r="G17" s="156"/>
      <c r="H17" s="156"/>
      <c r="I17" s="156"/>
      <c r="J17" s="156"/>
      <c r="K17" s="156"/>
      <c r="L17" s="102">
        <f t="shared" si="1"/>
        <v>0</v>
      </c>
    </row>
    <row r="18" spans="1:12" x14ac:dyDescent="0.25">
      <c r="A18" s="80">
        <v>14</v>
      </c>
      <c r="B18" s="155"/>
      <c r="C18" s="156"/>
      <c r="D18" s="156"/>
      <c r="E18" s="156"/>
      <c r="F18" s="156"/>
      <c r="G18" s="156"/>
      <c r="H18" s="156"/>
      <c r="I18" s="156"/>
      <c r="J18" s="156"/>
      <c r="K18" s="156"/>
      <c r="L18" s="102">
        <f t="shared" si="1"/>
        <v>0</v>
      </c>
    </row>
    <row r="19" spans="1:12" x14ac:dyDescent="0.25">
      <c r="A19" s="80">
        <v>15</v>
      </c>
      <c r="B19" s="155"/>
      <c r="C19" s="156"/>
      <c r="D19" s="156"/>
      <c r="E19" s="156"/>
      <c r="F19" s="156"/>
      <c r="G19" s="156"/>
      <c r="H19" s="156"/>
      <c r="I19" s="156"/>
      <c r="J19" s="156"/>
      <c r="K19" s="156"/>
      <c r="L19" s="102">
        <f t="shared" si="1"/>
        <v>0</v>
      </c>
    </row>
    <row r="20" spans="1:12" x14ac:dyDescent="0.25">
      <c r="A20" s="80">
        <v>16</v>
      </c>
      <c r="B20" s="155"/>
      <c r="C20" s="156"/>
      <c r="D20" s="156"/>
      <c r="E20" s="156"/>
      <c r="F20" s="156"/>
      <c r="G20" s="156"/>
      <c r="H20" s="156"/>
      <c r="I20" s="156"/>
      <c r="J20" s="156"/>
      <c r="K20" s="156"/>
      <c r="L20" s="102">
        <f t="shared" si="1"/>
        <v>0</v>
      </c>
    </row>
    <row r="21" spans="1:12" x14ac:dyDescent="0.25">
      <c r="A21" s="80">
        <v>17</v>
      </c>
      <c r="B21" s="155"/>
      <c r="C21" s="156"/>
      <c r="D21" s="156"/>
      <c r="E21" s="156"/>
      <c r="F21" s="156"/>
      <c r="G21" s="156"/>
      <c r="H21" s="156"/>
      <c r="I21" s="156"/>
      <c r="J21" s="156"/>
      <c r="K21" s="156"/>
      <c r="L21" s="102">
        <f t="shared" si="1"/>
        <v>0</v>
      </c>
    </row>
    <row r="22" spans="1:12" x14ac:dyDescent="0.25">
      <c r="A22" s="80">
        <v>18</v>
      </c>
      <c r="B22" s="155"/>
      <c r="C22" s="156"/>
      <c r="D22" s="156"/>
      <c r="E22" s="156"/>
      <c r="F22" s="156"/>
      <c r="G22" s="156"/>
      <c r="H22" s="156"/>
      <c r="I22" s="156"/>
      <c r="J22" s="156"/>
      <c r="K22" s="156"/>
      <c r="L22" s="102">
        <f t="shared" si="1"/>
        <v>0</v>
      </c>
    </row>
    <row r="23" spans="1:12" x14ac:dyDescent="0.25">
      <c r="A23" s="80">
        <v>19</v>
      </c>
      <c r="B23" s="155"/>
      <c r="C23" s="156"/>
      <c r="D23" s="156"/>
      <c r="E23" s="156"/>
      <c r="F23" s="156"/>
      <c r="G23" s="156"/>
      <c r="H23" s="156"/>
      <c r="I23" s="156"/>
      <c r="J23" s="156"/>
      <c r="K23" s="156"/>
      <c r="L23" s="102">
        <f t="shared" si="1"/>
        <v>0</v>
      </c>
    </row>
    <row r="24" spans="1:12" x14ac:dyDescent="0.25">
      <c r="A24" s="80">
        <v>20</v>
      </c>
      <c r="B24" s="155"/>
      <c r="C24" s="156"/>
      <c r="D24" s="156"/>
      <c r="E24" s="156"/>
      <c r="F24" s="156"/>
      <c r="G24" s="156"/>
      <c r="H24" s="156"/>
      <c r="I24" s="156"/>
      <c r="J24" s="156"/>
      <c r="K24" s="156"/>
      <c r="L24" s="102">
        <f t="shared" si="1"/>
        <v>0</v>
      </c>
    </row>
    <row r="25" spans="1:12" x14ac:dyDescent="0.25">
      <c r="A25" s="80">
        <v>21</v>
      </c>
      <c r="B25" s="155"/>
      <c r="C25" s="156"/>
      <c r="D25" s="156"/>
      <c r="E25" s="156"/>
      <c r="F25" s="156"/>
      <c r="G25" s="156"/>
      <c r="H25" s="156"/>
      <c r="I25" s="156"/>
      <c r="J25" s="156"/>
      <c r="K25" s="156"/>
      <c r="L25" s="102">
        <f t="shared" si="1"/>
        <v>0</v>
      </c>
    </row>
    <row r="26" spans="1:12" x14ac:dyDescent="0.25">
      <c r="A26" s="80">
        <v>22</v>
      </c>
      <c r="B26" s="155"/>
      <c r="C26" s="156"/>
      <c r="D26" s="156"/>
      <c r="E26" s="156"/>
      <c r="F26" s="156"/>
      <c r="G26" s="156"/>
      <c r="H26" s="156"/>
      <c r="I26" s="156"/>
      <c r="J26" s="156"/>
      <c r="K26" s="156"/>
      <c r="L26" s="102">
        <f t="shared" si="1"/>
        <v>0</v>
      </c>
    </row>
    <row r="27" spans="1:12" x14ac:dyDescent="0.25">
      <c r="A27" s="80">
        <v>23</v>
      </c>
      <c r="B27" s="155"/>
      <c r="C27" s="156"/>
      <c r="D27" s="156"/>
      <c r="E27" s="156"/>
      <c r="F27" s="156"/>
      <c r="G27" s="156"/>
      <c r="H27" s="156"/>
      <c r="I27" s="156"/>
      <c r="J27" s="156"/>
      <c r="K27" s="156"/>
      <c r="L27" s="102">
        <f t="shared" si="1"/>
        <v>0</v>
      </c>
    </row>
    <row r="28" spans="1:12" x14ac:dyDescent="0.25">
      <c r="A28" s="80">
        <v>24</v>
      </c>
      <c r="B28" s="155"/>
      <c r="C28" s="156"/>
      <c r="D28" s="156"/>
      <c r="E28" s="156"/>
      <c r="F28" s="156"/>
      <c r="G28" s="156"/>
      <c r="H28" s="156"/>
      <c r="I28" s="156"/>
      <c r="J28" s="156"/>
      <c r="K28" s="156"/>
      <c r="L28" s="102">
        <f t="shared" si="1"/>
        <v>0</v>
      </c>
    </row>
    <row r="29" spans="1:12" x14ac:dyDescent="0.25">
      <c r="A29" s="80">
        <v>25</v>
      </c>
      <c r="B29" s="155"/>
      <c r="C29" s="156"/>
      <c r="D29" s="156"/>
      <c r="E29" s="156"/>
      <c r="F29" s="156"/>
      <c r="G29" s="156"/>
      <c r="H29" s="156"/>
      <c r="I29" s="156"/>
      <c r="J29" s="156"/>
      <c r="K29" s="156"/>
      <c r="L29" s="102">
        <f t="shared" si="1"/>
        <v>0</v>
      </c>
    </row>
    <row r="30" spans="1:12" x14ac:dyDescent="0.25">
      <c r="A30" s="80">
        <v>26</v>
      </c>
      <c r="B30" s="155"/>
      <c r="C30" s="156"/>
      <c r="D30" s="156"/>
      <c r="E30" s="156"/>
      <c r="F30" s="156"/>
      <c r="G30" s="156"/>
      <c r="H30" s="156"/>
      <c r="I30" s="156"/>
      <c r="J30" s="156"/>
      <c r="K30" s="156"/>
      <c r="L30" s="102">
        <f t="shared" si="1"/>
        <v>0</v>
      </c>
    </row>
    <row r="31" spans="1:12" x14ac:dyDescent="0.25">
      <c r="A31" s="80">
        <v>27</v>
      </c>
      <c r="B31" s="155"/>
      <c r="C31" s="156"/>
      <c r="D31" s="156"/>
      <c r="E31" s="156"/>
      <c r="F31" s="156"/>
      <c r="G31" s="156"/>
      <c r="H31" s="156"/>
      <c r="I31" s="156"/>
      <c r="J31" s="156"/>
      <c r="K31" s="156"/>
      <c r="L31" s="102">
        <f t="shared" si="1"/>
        <v>0</v>
      </c>
    </row>
    <row r="32" spans="1:12" x14ac:dyDescent="0.25">
      <c r="A32" s="80">
        <v>28</v>
      </c>
      <c r="B32" s="155"/>
      <c r="C32" s="156"/>
      <c r="D32" s="156"/>
      <c r="E32" s="156"/>
      <c r="F32" s="156"/>
      <c r="G32" s="156"/>
      <c r="H32" s="156"/>
      <c r="I32" s="156"/>
      <c r="J32" s="156"/>
      <c r="K32" s="156"/>
      <c r="L32" s="102">
        <f t="shared" si="1"/>
        <v>0</v>
      </c>
    </row>
    <row r="33" spans="1:12" x14ac:dyDescent="0.25">
      <c r="A33" s="80">
        <v>29</v>
      </c>
      <c r="B33" s="155"/>
      <c r="C33" s="156"/>
      <c r="D33" s="156"/>
      <c r="E33" s="156"/>
      <c r="F33" s="156"/>
      <c r="G33" s="156"/>
      <c r="H33" s="156"/>
      <c r="I33" s="156"/>
      <c r="J33" s="156"/>
      <c r="K33" s="156"/>
      <c r="L33" s="102">
        <f t="shared" si="1"/>
        <v>0</v>
      </c>
    </row>
    <row r="34" spans="1:12" x14ac:dyDescent="0.25">
      <c r="A34" s="80">
        <v>30</v>
      </c>
      <c r="B34" s="155"/>
      <c r="C34" s="156"/>
      <c r="D34" s="156"/>
      <c r="E34" s="156"/>
      <c r="F34" s="156"/>
      <c r="G34" s="156"/>
      <c r="H34" s="156"/>
      <c r="I34" s="156"/>
      <c r="J34" s="156"/>
      <c r="K34" s="156"/>
      <c r="L34" s="102">
        <f t="shared" si="1"/>
        <v>0</v>
      </c>
    </row>
    <row r="35" spans="1:12" x14ac:dyDescent="0.25">
      <c r="A35" s="80">
        <v>31</v>
      </c>
      <c r="B35" s="155"/>
      <c r="C35" s="156"/>
      <c r="D35" s="156"/>
      <c r="E35" s="156"/>
      <c r="F35" s="156"/>
      <c r="G35" s="156"/>
      <c r="H35" s="156"/>
      <c r="I35" s="156"/>
      <c r="J35" s="156"/>
      <c r="K35" s="156"/>
      <c r="L35" s="102">
        <f t="shared" si="1"/>
        <v>0</v>
      </c>
    </row>
    <row r="36" spans="1:12" x14ac:dyDescent="0.25">
      <c r="A36" s="80">
        <v>32</v>
      </c>
      <c r="B36" s="155"/>
      <c r="C36" s="156"/>
      <c r="D36" s="156"/>
      <c r="E36" s="156"/>
      <c r="F36" s="156"/>
      <c r="G36" s="156"/>
      <c r="H36" s="156"/>
      <c r="I36" s="156"/>
      <c r="J36" s="156"/>
      <c r="K36" s="156"/>
      <c r="L36" s="102">
        <f t="shared" si="1"/>
        <v>0</v>
      </c>
    </row>
    <row r="37" spans="1:12" x14ac:dyDescent="0.25">
      <c r="A37" s="80">
        <v>33</v>
      </c>
      <c r="B37" s="155"/>
      <c r="C37" s="156"/>
      <c r="D37" s="156"/>
      <c r="E37" s="156"/>
      <c r="F37" s="156"/>
      <c r="G37" s="156"/>
      <c r="H37" s="156"/>
      <c r="I37" s="156"/>
      <c r="J37" s="156"/>
      <c r="K37" s="156"/>
      <c r="L37" s="102">
        <f t="shared" si="1"/>
        <v>0</v>
      </c>
    </row>
    <row r="38" spans="1:12" x14ac:dyDescent="0.25">
      <c r="A38" s="80">
        <v>34</v>
      </c>
      <c r="B38" s="155"/>
      <c r="C38" s="156"/>
      <c r="D38" s="156"/>
      <c r="E38" s="156"/>
      <c r="F38" s="156"/>
      <c r="G38" s="156"/>
      <c r="H38" s="156"/>
      <c r="I38" s="156"/>
      <c r="J38" s="156"/>
      <c r="K38" s="156"/>
      <c r="L38" s="102">
        <f t="shared" si="1"/>
        <v>0</v>
      </c>
    </row>
    <row r="39" spans="1:12" x14ac:dyDescent="0.25">
      <c r="A39" s="80">
        <v>35</v>
      </c>
      <c r="B39" s="155"/>
      <c r="C39" s="156"/>
      <c r="D39" s="156"/>
      <c r="E39" s="156"/>
      <c r="F39" s="156"/>
      <c r="G39" s="156"/>
      <c r="H39" s="156"/>
      <c r="I39" s="156"/>
      <c r="J39" s="156"/>
      <c r="K39" s="156"/>
      <c r="L39" s="102">
        <f t="shared" si="1"/>
        <v>0</v>
      </c>
    </row>
    <row r="40" spans="1:12" x14ac:dyDescent="0.25">
      <c r="A40" s="80">
        <v>36</v>
      </c>
      <c r="B40" s="155"/>
      <c r="C40" s="156"/>
      <c r="D40" s="156"/>
      <c r="E40" s="156"/>
      <c r="F40" s="156"/>
      <c r="G40" s="156"/>
      <c r="H40" s="156"/>
      <c r="I40" s="156"/>
      <c r="J40" s="156"/>
      <c r="K40" s="156"/>
      <c r="L40" s="102">
        <f t="shared" si="1"/>
        <v>0</v>
      </c>
    </row>
    <row r="41" spans="1:12" x14ac:dyDescent="0.25">
      <c r="A41" s="80">
        <v>37</v>
      </c>
      <c r="B41" s="155"/>
      <c r="C41" s="156"/>
      <c r="D41" s="156"/>
      <c r="E41" s="156"/>
      <c r="F41" s="156"/>
      <c r="G41" s="156"/>
      <c r="H41" s="156"/>
      <c r="I41" s="156"/>
      <c r="J41" s="156"/>
      <c r="K41" s="156"/>
      <c r="L41" s="102">
        <f t="shared" si="1"/>
        <v>0</v>
      </c>
    </row>
    <row r="42" spans="1:12" x14ac:dyDescent="0.25">
      <c r="A42" s="80">
        <v>38</v>
      </c>
      <c r="B42" s="155"/>
      <c r="C42" s="156"/>
      <c r="D42" s="156"/>
      <c r="E42" s="156"/>
      <c r="F42" s="156"/>
      <c r="G42" s="156"/>
      <c r="H42" s="156"/>
      <c r="I42" s="156"/>
      <c r="J42" s="156"/>
      <c r="K42" s="156"/>
      <c r="L42" s="102">
        <f t="shared" si="1"/>
        <v>0</v>
      </c>
    </row>
    <row r="43" spans="1:12" x14ac:dyDescent="0.25">
      <c r="A43" s="80">
        <v>39</v>
      </c>
      <c r="B43" s="155"/>
      <c r="C43" s="156"/>
      <c r="D43" s="156"/>
      <c r="E43" s="156"/>
      <c r="F43" s="156"/>
      <c r="G43" s="156"/>
      <c r="H43" s="156"/>
      <c r="I43" s="156"/>
      <c r="J43" s="156"/>
      <c r="K43" s="156"/>
      <c r="L43" s="102">
        <f t="shared" si="1"/>
        <v>0</v>
      </c>
    </row>
    <row r="44" spans="1:12" x14ac:dyDescent="0.25">
      <c r="A44" s="80">
        <v>40</v>
      </c>
      <c r="B44" s="155"/>
      <c r="C44" s="156"/>
      <c r="D44" s="156"/>
      <c r="E44" s="156"/>
      <c r="F44" s="156"/>
      <c r="G44" s="156"/>
      <c r="H44" s="156"/>
      <c r="I44" s="156"/>
      <c r="J44" s="156"/>
      <c r="K44" s="156"/>
      <c r="L44" s="102">
        <f t="shared" si="1"/>
        <v>0</v>
      </c>
    </row>
    <row r="45" spans="1:12" x14ac:dyDescent="0.25">
      <c r="A45" s="80">
        <v>41</v>
      </c>
      <c r="B45" s="155"/>
      <c r="C45" s="156"/>
      <c r="D45" s="156"/>
      <c r="E45" s="156"/>
      <c r="F45" s="156"/>
      <c r="G45" s="156"/>
      <c r="H45" s="156"/>
      <c r="I45" s="156"/>
      <c r="J45" s="156"/>
      <c r="K45" s="156"/>
      <c r="L45" s="102">
        <f t="shared" si="1"/>
        <v>0</v>
      </c>
    </row>
    <row r="46" spans="1:12" x14ac:dyDescent="0.25">
      <c r="A46" s="80">
        <v>42</v>
      </c>
      <c r="B46" s="155"/>
      <c r="C46" s="156"/>
      <c r="D46" s="156"/>
      <c r="E46" s="156"/>
      <c r="F46" s="156"/>
      <c r="G46" s="156"/>
      <c r="H46" s="156"/>
      <c r="I46" s="156"/>
      <c r="J46" s="156"/>
      <c r="K46" s="156"/>
      <c r="L46" s="102">
        <f t="shared" si="1"/>
        <v>0</v>
      </c>
    </row>
    <row r="47" spans="1:12" x14ac:dyDescent="0.25">
      <c r="A47" s="80">
        <v>43</v>
      </c>
      <c r="B47" s="155"/>
      <c r="C47" s="156"/>
      <c r="D47" s="156"/>
      <c r="E47" s="156"/>
      <c r="F47" s="156"/>
      <c r="G47" s="156"/>
      <c r="H47" s="156"/>
      <c r="I47" s="156"/>
      <c r="J47" s="156"/>
      <c r="K47" s="156"/>
      <c r="L47" s="102">
        <f t="shared" si="1"/>
        <v>0</v>
      </c>
    </row>
    <row r="48" spans="1:12" x14ac:dyDescent="0.25">
      <c r="A48" s="80">
        <v>44</v>
      </c>
      <c r="B48" s="155"/>
      <c r="C48" s="156"/>
      <c r="D48" s="156"/>
      <c r="E48" s="156"/>
      <c r="F48" s="156"/>
      <c r="G48" s="156"/>
      <c r="H48" s="156"/>
      <c r="I48" s="156"/>
      <c r="J48" s="156"/>
      <c r="K48" s="156"/>
      <c r="L48" s="102">
        <f t="shared" si="1"/>
        <v>0</v>
      </c>
    </row>
    <row r="49" spans="1:12" x14ac:dyDescent="0.25">
      <c r="A49" s="80">
        <v>45</v>
      </c>
      <c r="B49" s="155"/>
      <c r="C49" s="156"/>
      <c r="D49" s="156"/>
      <c r="E49" s="156"/>
      <c r="F49" s="156"/>
      <c r="G49" s="156"/>
      <c r="H49" s="156"/>
      <c r="I49" s="156"/>
      <c r="J49" s="156"/>
      <c r="K49" s="156"/>
      <c r="L49" s="102">
        <f t="shared" si="1"/>
        <v>0</v>
      </c>
    </row>
    <row r="50" spans="1:12" x14ac:dyDescent="0.25">
      <c r="A50" s="80">
        <v>46</v>
      </c>
      <c r="B50" s="155"/>
      <c r="C50" s="156"/>
      <c r="D50" s="156"/>
      <c r="E50" s="156"/>
      <c r="F50" s="156"/>
      <c r="G50" s="156"/>
      <c r="H50" s="156"/>
      <c r="I50" s="156"/>
      <c r="J50" s="156"/>
      <c r="K50" s="156"/>
      <c r="L50" s="102">
        <f t="shared" si="1"/>
        <v>0</v>
      </c>
    </row>
    <row r="51" spans="1:12" x14ac:dyDescent="0.25">
      <c r="A51" s="80">
        <v>47</v>
      </c>
      <c r="B51" s="155"/>
      <c r="C51" s="156"/>
      <c r="D51" s="156"/>
      <c r="E51" s="156"/>
      <c r="F51" s="156"/>
      <c r="G51" s="156"/>
      <c r="H51" s="156"/>
      <c r="I51" s="156"/>
      <c r="J51" s="156"/>
      <c r="K51" s="156"/>
      <c r="L51" s="102">
        <f t="shared" si="1"/>
        <v>0</v>
      </c>
    </row>
    <row r="52" spans="1:12" x14ac:dyDescent="0.25">
      <c r="A52" s="80">
        <v>48</v>
      </c>
      <c r="B52" s="155"/>
      <c r="C52" s="156"/>
      <c r="D52" s="156"/>
      <c r="E52" s="156"/>
      <c r="F52" s="156"/>
      <c r="G52" s="156"/>
      <c r="H52" s="156"/>
      <c r="I52" s="156"/>
      <c r="J52" s="156"/>
      <c r="K52" s="156"/>
      <c r="L52" s="102">
        <f t="shared" si="1"/>
        <v>0</v>
      </c>
    </row>
    <row r="53" spans="1:12" x14ac:dyDescent="0.25">
      <c r="A53" s="80">
        <v>49</v>
      </c>
      <c r="B53" s="155"/>
      <c r="C53" s="156"/>
      <c r="D53" s="156"/>
      <c r="E53" s="156"/>
      <c r="F53" s="156"/>
      <c r="G53" s="156"/>
      <c r="H53" s="156"/>
      <c r="I53" s="156"/>
      <c r="J53" s="156"/>
      <c r="K53" s="156"/>
      <c r="L53" s="102">
        <f t="shared" si="1"/>
        <v>0</v>
      </c>
    </row>
    <row r="54" spans="1:12" x14ac:dyDescent="0.25">
      <c r="A54" s="80">
        <v>50</v>
      </c>
      <c r="B54" s="155"/>
      <c r="C54" s="156"/>
      <c r="D54" s="156"/>
      <c r="E54" s="156"/>
      <c r="F54" s="156"/>
      <c r="G54" s="156"/>
      <c r="H54" s="156"/>
      <c r="I54" s="156"/>
      <c r="J54" s="156"/>
      <c r="K54" s="156"/>
      <c r="L54" s="102">
        <f t="shared" si="1"/>
        <v>0</v>
      </c>
    </row>
    <row r="55" spans="1:12" x14ac:dyDescent="0.25">
      <c r="A55" s="80">
        <v>51</v>
      </c>
      <c r="B55" s="155"/>
      <c r="C55" s="156"/>
      <c r="D55" s="156"/>
      <c r="E55" s="156"/>
      <c r="F55" s="156"/>
      <c r="G55" s="156"/>
      <c r="H55" s="156"/>
      <c r="I55" s="156"/>
      <c r="J55" s="156"/>
      <c r="K55" s="156"/>
      <c r="L55" s="102">
        <f t="shared" si="1"/>
        <v>0</v>
      </c>
    </row>
    <row r="56" spans="1:12" x14ac:dyDescent="0.25">
      <c r="A56" s="80">
        <v>52</v>
      </c>
      <c r="B56" s="155"/>
      <c r="C56" s="156"/>
      <c r="D56" s="156"/>
      <c r="E56" s="156"/>
      <c r="F56" s="156"/>
      <c r="G56" s="156"/>
      <c r="H56" s="156"/>
      <c r="I56" s="156"/>
      <c r="J56" s="156"/>
      <c r="K56" s="156"/>
      <c r="L56" s="102">
        <f t="shared" si="1"/>
        <v>0</v>
      </c>
    </row>
    <row r="57" spans="1:12" x14ac:dyDescent="0.25">
      <c r="A57" s="80">
        <v>53</v>
      </c>
      <c r="B57" s="155"/>
      <c r="C57" s="156"/>
      <c r="D57" s="156"/>
      <c r="E57" s="156"/>
      <c r="F57" s="156"/>
      <c r="G57" s="156"/>
      <c r="H57" s="156"/>
      <c r="I57" s="156"/>
      <c r="J57" s="156"/>
      <c r="K57" s="156"/>
      <c r="L57" s="102">
        <f t="shared" si="1"/>
        <v>0</v>
      </c>
    </row>
    <row r="58" spans="1:12" x14ac:dyDescent="0.25">
      <c r="A58" s="80">
        <v>54</v>
      </c>
      <c r="B58" s="155"/>
      <c r="C58" s="156"/>
      <c r="D58" s="156"/>
      <c r="E58" s="156"/>
      <c r="F58" s="156"/>
      <c r="G58" s="156"/>
      <c r="H58" s="156"/>
      <c r="I58" s="156"/>
      <c r="J58" s="156"/>
      <c r="K58" s="156"/>
      <c r="L58" s="102">
        <f t="shared" si="1"/>
        <v>0</v>
      </c>
    </row>
    <row r="59" spans="1:12" x14ac:dyDescent="0.25">
      <c r="A59" s="80">
        <v>55</v>
      </c>
      <c r="B59" s="155"/>
      <c r="C59" s="156"/>
      <c r="D59" s="156"/>
      <c r="E59" s="156"/>
      <c r="F59" s="156"/>
      <c r="G59" s="156"/>
      <c r="H59" s="156"/>
      <c r="I59" s="156"/>
      <c r="J59" s="156"/>
      <c r="K59" s="156"/>
      <c r="L59" s="102">
        <f t="shared" si="1"/>
        <v>0</v>
      </c>
    </row>
    <row r="60" spans="1:12" x14ac:dyDescent="0.25">
      <c r="A60" s="80">
        <v>56</v>
      </c>
      <c r="B60" s="155"/>
      <c r="C60" s="156"/>
      <c r="D60" s="156"/>
      <c r="E60" s="156"/>
      <c r="F60" s="156"/>
      <c r="G60" s="156"/>
      <c r="H60" s="156"/>
      <c r="I60" s="156"/>
      <c r="J60" s="156"/>
      <c r="K60" s="156"/>
      <c r="L60" s="102">
        <f t="shared" si="1"/>
        <v>0</v>
      </c>
    </row>
    <row r="61" spans="1:12" x14ac:dyDescent="0.25">
      <c r="A61" s="80">
        <v>57</v>
      </c>
      <c r="B61" s="155"/>
      <c r="C61" s="156"/>
      <c r="D61" s="156"/>
      <c r="E61" s="156"/>
      <c r="F61" s="156"/>
      <c r="G61" s="156"/>
      <c r="H61" s="156"/>
      <c r="I61" s="156"/>
      <c r="J61" s="156"/>
      <c r="K61" s="156"/>
      <c r="L61" s="102">
        <f t="shared" si="1"/>
        <v>0</v>
      </c>
    </row>
    <row r="62" spans="1:12" x14ac:dyDescent="0.25">
      <c r="A62" s="80">
        <v>58</v>
      </c>
      <c r="B62" s="155"/>
      <c r="C62" s="156"/>
      <c r="D62" s="156"/>
      <c r="E62" s="156"/>
      <c r="F62" s="156"/>
      <c r="G62" s="156"/>
      <c r="H62" s="156"/>
      <c r="I62" s="156"/>
      <c r="J62" s="156"/>
      <c r="K62" s="156"/>
      <c r="L62" s="102">
        <f t="shared" si="1"/>
        <v>0</v>
      </c>
    </row>
    <row r="63" spans="1:12" x14ac:dyDescent="0.25">
      <c r="A63" s="80">
        <v>59</v>
      </c>
      <c r="B63" s="155"/>
      <c r="C63" s="156"/>
      <c r="D63" s="156"/>
      <c r="E63" s="156"/>
      <c r="F63" s="156"/>
      <c r="G63" s="156"/>
      <c r="H63" s="156"/>
      <c r="I63" s="156"/>
      <c r="J63" s="156"/>
      <c r="K63" s="156"/>
      <c r="L63" s="102">
        <f t="shared" si="1"/>
        <v>0</v>
      </c>
    </row>
    <row r="64" spans="1:12" x14ac:dyDescent="0.25">
      <c r="A64" s="80">
        <v>60</v>
      </c>
      <c r="B64" s="155"/>
      <c r="C64" s="156"/>
      <c r="D64" s="156"/>
      <c r="E64" s="156"/>
      <c r="F64" s="156"/>
      <c r="G64" s="156"/>
      <c r="H64" s="156"/>
      <c r="I64" s="156"/>
      <c r="J64" s="156"/>
      <c r="K64" s="156"/>
      <c r="L64" s="102">
        <f t="shared" si="1"/>
        <v>0</v>
      </c>
    </row>
    <row r="65" spans="1:12" x14ac:dyDescent="0.25">
      <c r="A65" s="80">
        <v>61</v>
      </c>
      <c r="B65" s="155"/>
      <c r="C65" s="156"/>
      <c r="D65" s="156"/>
      <c r="E65" s="156"/>
      <c r="F65" s="156"/>
      <c r="G65" s="156"/>
      <c r="H65" s="156"/>
      <c r="I65" s="156"/>
      <c r="J65" s="156"/>
      <c r="K65" s="156"/>
      <c r="L65" s="102">
        <f t="shared" si="1"/>
        <v>0</v>
      </c>
    </row>
    <row r="66" spans="1:12" x14ac:dyDescent="0.25">
      <c r="A66" s="80">
        <v>62</v>
      </c>
      <c r="B66" s="155"/>
      <c r="C66" s="156"/>
      <c r="D66" s="156"/>
      <c r="E66" s="156"/>
      <c r="F66" s="156"/>
      <c r="G66" s="156"/>
      <c r="H66" s="156"/>
      <c r="I66" s="156"/>
      <c r="J66" s="156"/>
      <c r="K66" s="156"/>
      <c r="L66" s="102">
        <f t="shared" si="1"/>
        <v>0</v>
      </c>
    </row>
    <row r="67" spans="1:12" x14ac:dyDescent="0.25">
      <c r="A67" s="80">
        <v>63</v>
      </c>
      <c r="B67" s="155"/>
      <c r="C67" s="156"/>
      <c r="D67" s="156"/>
      <c r="E67" s="156"/>
      <c r="F67" s="156"/>
      <c r="G67" s="156"/>
      <c r="H67" s="156"/>
      <c r="I67" s="156"/>
      <c r="J67" s="156"/>
      <c r="K67" s="156"/>
      <c r="L67" s="102">
        <f t="shared" si="1"/>
        <v>0</v>
      </c>
    </row>
    <row r="68" spans="1:12" x14ac:dyDescent="0.25">
      <c r="A68" s="80">
        <v>64</v>
      </c>
      <c r="B68" s="155"/>
      <c r="C68" s="156"/>
      <c r="D68" s="156"/>
      <c r="E68" s="156"/>
      <c r="F68" s="156"/>
      <c r="G68" s="156"/>
      <c r="H68" s="156"/>
      <c r="I68" s="156"/>
      <c r="J68" s="156"/>
      <c r="K68" s="156"/>
      <c r="L68" s="99">
        <f t="shared" si="1"/>
        <v>0</v>
      </c>
    </row>
    <row r="69" spans="1:12" x14ac:dyDescent="0.25">
      <c r="A69" s="73"/>
      <c r="B69" s="98"/>
      <c r="C69" s="77"/>
      <c r="D69" s="77"/>
      <c r="E69" s="77"/>
      <c r="F69" s="77"/>
      <c r="G69" s="77"/>
      <c r="H69" s="77"/>
      <c r="I69" s="77"/>
      <c r="J69" s="77"/>
      <c r="K69" s="78"/>
      <c r="L69" s="100"/>
    </row>
  </sheetData>
  <mergeCells count="2">
    <mergeCell ref="B1:L1"/>
    <mergeCell ref="B2:L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18"/>
  <sheetViews>
    <sheetView zoomScale="90" zoomScaleNormal="90" workbookViewId="0">
      <pane xSplit="2" ySplit="5" topLeftCell="C6" activePane="bottomRight" state="frozen"/>
      <selection pane="topRight" activeCell="B1" sqref="B1"/>
      <selection pane="bottomLeft" activeCell="A4" sqref="A4"/>
      <selection pane="bottomRight" activeCell="AV18" sqref="AV18"/>
    </sheetView>
  </sheetViews>
  <sheetFormatPr defaultRowHeight="15" x14ac:dyDescent="0.25"/>
  <cols>
    <col min="1" max="1" width="3.42578125" bestFit="1" customWidth="1"/>
    <col min="2" max="2" width="18.5703125" bestFit="1" customWidth="1"/>
    <col min="3" max="3" width="6.140625" bestFit="1" customWidth="1"/>
    <col min="4" max="4" width="5.85546875" bestFit="1" customWidth="1"/>
    <col min="5" max="5" width="5.28515625" bestFit="1" customWidth="1"/>
    <col min="6" max="6" width="5.7109375" bestFit="1" customWidth="1"/>
    <col min="7" max="7" width="5.28515625" bestFit="1" customWidth="1"/>
    <col min="8" max="8" width="5.7109375" bestFit="1" customWidth="1"/>
    <col min="9" max="10" width="5.28515625" bestFit="1" customWidth="1"/>
    <col min="11" max="11" width="5.28515625" style="109" bestFit="1" customWidth="1"/>
    <col min="12" max="12" width="5.85546875" bestFit="1" customWidth="1"/>
    <col min="13" max="13" width="5.28515625" bestFit="1" customWidth="1"/>
    <col min="14" max="14" width="5.7109375" bestFit="1" customWidth="1"/>
    <col min="15" max="15" width="5.28515625" bestFit="1" customWidth="1"/>
    <col min="16" max="16" width="5.7109375" bestFit="1" customWidth="1"/>
    <col min="17" max="19" width="5.28515625" bestFit="1" customWidth="1"/>
    <col min="20" max="20" width="5.85546875" bestFit="1" customWidth="1"/>
    <col min="21" max="21" width="5.28515625" bestFit="1" customWidth="1"/>
    <col min="22" max="22" width="5.7109375" bestFit="1" customWidth="1"/>
    <col min="23" max="23" width="5.28515625" bestFit="1" customWidth="1"/>
    <col min="24" max="24" width="5.7109375" bestFit="1" customWidth="1"/>
    <col min="25" max="27" width="5.28515625" bestFit="1" customWidth="1"/>
    <col min="28" max="28" width="5.85546875" bestFit="1" customWidth="1"/>
    <col min="29" max="29" width="5.28515625" bestFit="1" customWidth="1"/>
    <col min="30" max="30" width="5.7109375" bestFit="1" customWidth="1"/>
    <col min="31" max="31" width="5.28515625" bestFit="1" customWidth="1"/>
    <col min="32" max="32" width="5.7109375" bestFit="1" customWidth="1"/>
    <col min="33" max="35" width="5.28515625" bestFit="1" customWidth="1"/>
    <col min="36" max="36" width="5.85546875" bestFit="1" customWidth="1"/>
    <col min="37" max="37" width="5.28515625" bestFit="1" customWidth="1"/>
    <col min="38" max="38" width="5.7109375" bestFit="1" customWidth="1"/>
    <col min="39" max="39" width="5.28515625" bestFit="1" customWidth="1"/>
    <col min="40" max="40" width="5.7109375" bestFit="1" customWidth="1"/>
    <col min="41" max="43" width="5.28515625" bestFit="1" customWidth="1"/>
    <col min="44" max="44" width="5.85546875" bestFit="1" customWidth="1"/>
    <col min="45" max="45" width="5.28515625" bestFit="1" customWidth="1"/>
    <col min="46" max="46" width="5.7109375" bestFit="1" customWidth="1"/>
    <col min="47" max="47" width="5.28515625" bestFit="1" customWidth="1"/>
    <col min="48" max="48" width="5.7109375" bestFit="1" customWidth="1"/>
    <col min="49" max="51" width="5.28515625" bestFit="1" customWidth="1"/>
    <col min="52" max="52" width="5.85546875" bestFit="1" customWidth="1"/>
    <col min="53" max="53" width="5.28515625" bestFit="1" customWidth="1"/>
    <col min="54" max="54" width="5.7109375" bestFit="1" customWidth="1"/>
    <col min="55" max="55" width="5.28515625" bestFit="1" customWidth="1"/>
    <col min="56" max="56" width="5.7109375" bestFit="1" customWidth="1"/>
    <col min="57" max="59" width="5.28515625" bestFit="1" customWidth="1"/>
    <col min="60" max="60" width="5.85546875" bestFit="1" customWidth="1"/>
    <col min="61" max="61" width="5.28515625" bestFit="1" customWidth="1"/>
    <col min="62" max="62" width="5.7109375" bestFit="1" customWidth="1"/>
    <col min="63" max="63" width="5.28515625" bestFit="1" customWidth="1"/>
    <col min="64" max="64" width="5.7109375" bestFit="1" customWidth="1"/>
    <col min="65" max="67" width="5.28515625" bestFit="1" customWidth="1"/>
    <col min="68" max="68" width="5.85546875" bestFit="1" customWidth="1"/>
    <col min="69" max="69" width="5.28515625" bestFit="1" customWidth="1"/>
    <col min="70" max="70" width="5.7109375" bestFit="1" customWidth="1"/>
    <col min="71" max="71" width="5.28515625" bestFit="1" customWidth="1"/>
    <col min="72" max="72" width="5.7109375" bestFit="1" customWidth="1"/>
    <col min="73" max="74" width="5.28515625" bestFit="1" customWidth="1"/>
    <col min="75" max="75" width="6.85546875" style="31" bestFit="1" customWidth="1"/>
    <col min="76" max="76" width="8.7109375" customWidth="1"/>
    <col min="77" max="77" width="4.5703125" style="174" bestFit="1" customWidth="1"/>
    <col min="78" max="78" width="12.42578125" style="105" bestFit="1" customWidth="1"/>
    <col min="79" max="79" width="19" bestFit="1" customWidth="1"/>
    <col min="80" max="80" width="10.140625" bestFit="1" customWidth="1"/>
    <col min="81" max="81" width="7.85546875" bestFit="1" customWidth="1"/>
    <col min="82" max="82" width="12.42578125" bestFit="1" customWidth="1"/>
    <col min="83" max="83" width="10.5703125" bestFit="1" customWidth="1"/>
    <col min="84" max="84" width="20.42578125" bestFit="1" customWidth="1"/>
    <col min="85" max="85" width="17.5703125" bestFit="1" customWidth="1"/>
    <col min="86" max="86" width="10.85546875" bestFit="1" customWidth="1"/>
  </cols>
  <sheetData>
    <row r="1" spans="1:86" s="75" customFormat="1" ht="18.75" x14ac:dyDescent="0.3">
      <c r="A1" s="82"/>
      <c r="B1" s="361" t="s">
        <v>126</v>
      </c>
      <c r="C1" s="361"/>
      <c r="D1" s="361"/>
      <c r="E1" s="361"/>
      <c r="F1" s="361"/>
      <c r="G1" s="361"/>
      <c r="H1" s="361"/>
      <c r="I1" s="361"/>
      <c r="J1" s="361"/>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17"/>
      <c r="BY1" s="170"/>
      <c r="BZ1" s="105"/>
    </row>
    <row r="2" spans="1:86" s="75" customFormat="1" ht="15.75" thickBot="1" x14ac:dyDescent="0.3">
      <c r="A2" s="121"/>
      <c r="B2" s="117"/>
      <c r="C2" s="360" t="s">
        <v>23</v>
      </c>
      <c r="D2" s="360"/>
      <c r="E2" s="360"/>
      <c r="F2" s="360"/>
      <c r="G2" s="360"/>
      <c r="H2" s="360"/>
      <c r="I2" s="360"/>
      <c r="J2" s="360"/>
      <c r="K2" s="360" t="s">
        <v>23</v>
      </c>
      <c r="L2" s="360"/>
      <c r="M2" s="360"/>
      <c r="N2" s="360"/>
      <c r="O2" s="360"/>
      <c r="P2" s="360"/>
      <c r="Q2" s="360"/>
      <c r="R2" s="360"/>
      <c r="S2" s="360" t="s">
        <v>23</v>
      </c>
      <c r="T2" s="360"/>
      <c r="U2" s="360"/>
      <c r="V2" s="360"/>
      <c r="W2" s="360"/>
      <c r="X2" s="360"/>
      <c r="Y2" s="360"/>
      <c r="Z2" s="360"/>
      <c r="AA2" s="360" t="s">
        <v>23</v>
      </c>
      <c r="AB2" s="360"/>
      <c r="AC2" s="360"/>
      <c r="AD2" s="360"/>
      <c r="AE2" s="360"/>
      <c r="AF2" s="360"/>
      <c r="AG2" s="360"/>
      <c r="AH2" s="360"/>
      <c r="AI2" s="360" t="s">
        <v>23</v>
      </c>
      <c r="AJ2" s="360"/>
      <c r="AK2" s="360"/>
      <c r="AL2" s="360"/>
      <c r="AM2" s="360"/>
      <c r="AN2" s="360"/>
      <c r="AO2" s="360"/>
      <c r="AP2" s="360"/>
      <c r="AQ2" s="360" t="s">
        <v>23</v>
      </c>
      <c r="AR2" s="360"/>
      <c r="AS2" s="360"/>
      <c r="AT2" s="360"/>
      <c r="AU2" s="360"/>
      <c r="AV2" s="360"/>
      <c r="AW2" s="360"/>
      <c r="AX2" s="360"/>
      <c r="AY2" s="360" t="s">
        <v>23</v>
      </c>
      <c r="AZ2" s="360"/>
      <c r="BA2" s="360"/>
      <c r="BB2" s="360"/>
      <c r="BC2" s="360"/>
      <c r="BD2" s="360"/>
      <c r="BE2" s="360"/>
      <c r="BF2" s="360"/>
      <c r="BG2" s="360" t="s">
        <v>23</v>
      </c>
      <c r="BH2" s="360"/>
      <c r="BI2" s="360"/>
      <c r="BJ2" s="360"/>
      <c r="BK2" s="360"/>
      <c r="BL2" s="360"/>
      <c r="BM2" s="360"/>
      <c r="BN2" s="360"/>
      <c r="BO2" s="360" t="s">
        <v>23</v>
      </c>
      <c r="BP2" s="360"/>
      <c r="BQ2" s="360"/>
      <c r="BR2" s="360"/>
      <c r="BS2" s="360"/>
      <c r="BT2" s="360"/>
      <c r="BU2" s="360"/>
      <c r="BV2" s="360"/>
      <c r="BW2" s="117"/>
      <c r="BY2" s="170"/>
      <c r="BZ2" s="169"/>
      <c r="CA2" s="170"/>
      <c r="CB2" s="170"/>
      <c r="CC2" s="170"/>
      <c r="CD2" s="170"/>
      <c r="CE2" s="170"/>
      <c r="CF2" s="170"/>
      <c r="CG2" s="170"/>
      <c r="CH2" s="170"/>
    </row>
    <row r="3" spans="1:86" s="40" customFormat="1" ht="16.5" thickBot="1" x14ac:dyDescent="0.3">
      <c r="A3" s="121"/>
      <c r="B3" s="120" t="s">
        <v>122</v>
      </c>
      <c r="C3" s="122">
        <f>SUM(C6:C69)</f>
        <v>23.913774741480452</v>
      </c>
      <c r="D3" s="123">
        <f t="shared" ref="D3:BV3" si="0">SUM(D6:D69)</f>
        <v>0</v>
      </c>
      <c r="E3" s="123">
        <f t="shared" si="0"/>
        <v>1623.5551828265129</v>
      </c>
      <c r="F3" s="123">
        <f t="shared" si="0"/>
        <v>583.58125586596702</v>
      </c>
      <c r="G3" s="123">
        <f t="shared" si="0"/>
        <v>67.933445527592838</v>
      </c>
      <c r="H3" s="123">
        <f t="shared" si="0"/>
        <v>28.228217444074577</v>
      </c>
      <c r="I3" s="123">
        <f t="shared" si="0"/>
        <v>2537.6034755685323</v>
      </c>
      <c r="J3" s="124">
        <f t="shared" si="0"/>
        <v>0.4670273028581266</v>
      </c>
      <c r="K3" s="122">
        <f>SUM(K6:K69)</f>
        <v>9.8841757218651139E-4</v>
      </c>
      <c r="L3" s="123">
        <f t="shared" si="0"/>
        <v>0</v>
      </c>
      <c r="M3" s="123">
        <f t="shared" si="0"/>
        <v>37.523543397309574</v>
      </c>
      <c r="N3" s="123">
        <f t="shared" si="0"/>
        <v>1.2095760039632431</v>
      </c>
      <c r="O3" s="123">
        <f t="shared" si="0"/>
        <v>0.49816245638200168</v>
      </c>
      <c r="P3" s="123">
        <f t="shared" si="0"/>
        <v>4.7196939071905919E-2</v>
      </c>
      <c r="Q3" s="123">
        <f t="shared" si="0"/>
        <v>16.944195335600316</v>
      </c>
      <c r="R3" s="124">
        <f t="shared" si="0"/>
        <v>1.2355219652331394E-3</v>
      </c>
      <c r="S3" s="122">
        <f>SUM(S6:S69)</f>
        <v>1.522410165560274</v>
      </c>
      <c r="T3" s="123">
        <f t="shared" si="0"/>
        <v>0</v>
      </c>
      <c r="U3" s="123">
        <f t="shared" si="0"/>
        <v>1110.8274051007706</v>
      </c>
      <c r="V3" s="123">
        <f t="shared" si="0"/>
        <v>112.12188861415605</v>
      </c>
      <c r="W3" s="123">
        <f t="shared" si="0"/>
        <v>30.598689886570874</v>
      </c>
      <c r="X3" s="123">
        <f t="shared" si="0"/>
        <v>6.2448222210743785</v>
      </c>
      <c r="Y3" s="123">
        <f t="shared" si="0"/>
        <v>1061.6158239123556</v>
      </c>
      <c r="Z3" s="124">
        <f t="shared" si="0"/>
        <v>0.14010819085743798</v>
      </c>
      <c r="AA3" s="122">
        <f>SUM(AA6:AA69)</f>
        <v>3.8649598116423056</v>
      </c>
      <c r="AB3" s="123">
        <f t="shared" si="0"/>
        <v>0</v>
      </c>
      <c r="AC3" s="123">
        <f t="shared" si="0"/>
        <v>26.526903697948544</v>
      </c>
      <c r="AD3" s="123">
        <f t="shared" si="0"/>
        <v>14.139313370128047</v>
      </c>
      <c r="AE3" s="123">
        <f t="shared" si="0"/>
        <v>0.37189211153517493</v>
      </c>
      <c r="AF3" s="123">
        <f t="shared" si="0"/>
        <v>0.70424752018288939</v>
      </c>
      <c r="AG3" s="123">
        <f t="shared" si="0"/>
        <v>24.358562648964387</v>
      </c>
      <c r="AH3" s="124">
        <f t="shared" si="0"/>
        <v>2.4710439304662787E-3</v>
      </c>
      <c r="AI3" s="122">
        <f>SUM(AI6:AI69)</f>
        <v>0.87870322167380865</v>
      </c>
      <c r="AJ3" s="123">
        <f t="shared" si="0"/>
        <v>0</v>
      </c>
      <c r="AK3" s="123">
        <f t="shared" si="0"/>
        <v>1676.3035691926041</v>
      </c>
      <c r="AL3" s="123">
        <f t="shared" si="0"/>
        <v>59.681147217407648</v>
      </c>
      <c r="AM3" s="123">
        <f t="shared" si="0"/>
        <v>34.432761649082352</v>
      </c>
      <c r="AN3" s="123">
        <f t="shared" si="0"/>
        <v>2.6358625606283792</v>
      </c>
      <c r="AO3" s="123">
        <f t="shared" si="0"/>
        <v>1163.8508186563229</v>
      </c>
      <c r="AP3" s="124">
        <f t="shared" si="0"/>
        <v>4.5220103927532895E-2</v>
      </c>
      <c r="AQ3" s="122">
        <f t="shared" ref="AQ3:AY3" si="1">SUM(AQ6:AQ69)</f>
        <v>0.19101169582504332</v>
      </c>
      <c r="AR3" s="123">
        <f t="shared" si="1"/>
        <v>0</v>
      </c>
      <c r="AS3" s="123">
        <f t="shared" si="1"/>
        <v>257.33995121540522</v>
      </c>
      <c r="AT3" s="123">
        <f t="shared" si="1"/>
        <v>18.569895137454083</v>
      </c>
      <c r="AU3" s="123">
        <f t="shared" si="1"/>
        <v>1.7223176195349961</v>
      </c>
      <c r="AV3" s="123">
        <f t="shared" si="1"/>
        <v>5.6945207377595386</v>
      </c>
      <c r="AW3" s="123">
        <f t="shared" si="1"/>
        <v>296.43977353595932</v>
      </c>
      <c r="AX3" s="124">
        <f t="shared" si="1"/>
        <v>4.2501955604019988E-2</v>
      </c>
      <c r="AY3" s="122">
        <f t="shared" si="1"/>
        <v>0</v>
      </c>
      <c r="AZ3" s="123">
        <f t="shared" ref="AZ3:BN3" si="2">SUM(AZ6:AZ69)</f>
        <v>0</v>
      </c>
      <c r="BA3" s="123">
        <f t="shared" si="2"/>
        <v>0</v>
      </c>
      <c r="BB3" s="123">
        <f t="shared" si="2"/>
        <v>0</v>
      </c>
      <c r="BC3" s="123">
        <f t="shared" si="2"/>
        <v>0</v>
      </c>
      <c r="BD3" s="123">
        <f t="shared" si="2"/>
        <v>0</v>
      </c>
      <c r="BE3" s="123">
        <f t="shared" si="2"/>
        <v>0</v>
      </c>
      <c r="BF3" s="124">
        <f t="shared" si="2"/>
        <v>0</v>
      </c>
      <c r="BG3" s="122">
        <f>SUM(BG6:BG69)</f>
        <v>0</v>
      </c>
      <c r="BH3" s="123">
        <f t="shared" si="2"/>
        <v>0</v>
      </c>
      <c r="BI3" s="123">
        <f t="shared" si="2"/>
        <v>0</v>
      </c>
      <c r="BJ3" s="123">
        <f t="shared" si="2"/>
        <v>0</v>
      </c>
      <c r="BK3" s="123">
        <f t="shared" si="2"/>
        <v>0</v>
      </c>
      <c r="BL3" s="123">
        <f t="shared" si="2"/>
        <v>0</v>
      </c>
      <c r="BM3" s="123">
        <f t="shared" si="2"/>
        <v>0</v>
      </c>
      <c r="BN3" s="124">
        <f t="shared" si="2"/>
        <v>0</v>
      </c>
      <c r="BO3" s="122">
        <f>SUM(BO6:BO69)</f>
        <v>0</v>
      </c>
      <c r="BP3" s="123">
        <f t="shared" si="0"/>
        <v>0</v>
      </c>
      <c r="BQ3" s="123">
        <f t="shared" si="0"/>
        <v>0</v>
      </c>
      <c r="BR3" s="123">
        <f t="shared" si="0"/>
        <v>0</v>
      </c>
      <c r="BS3" s="123">
        <f t="shared" si="0"/>
        <v>0</v>
      </c>
      <c r="BT3" s="123">
        <f t="shared" si="0"/>
        <v>0</v>
      </c>
      <c r="BU3" s="123">
        <f t="shared" si="0"/>
        <v>0</v>
      </c>
      <c r="BV3" s="124">
        <f t="shared" si="0"/>
        <v>0</v>
      </c>
      <c r="BW3" s="129">
        <f>SUM(C3:BV3)</f>
        <v>10832.374830143748</v>
      </c>
      <c r="BY3" s="171"/>
      <c r="BZ3" s="356" t="s">
        <v>134</v>
      </c>
      <c r="CA3" s="356"/>
      <c r="CB3" s="356"/>
      <c r="CC3" s="356"/>
      <c r="CD3" s="356"/>
      <c r="CE3" s="356"/>
      <c r="CF3" s="356"/>
      <c r="CG3" s="356"/>
      <c r="CH3" s="356"/>
    </row>
    <row r="4" spans="1:86" s="128" customFormat="1" ht="16.5" thickBot="1" x14ac:dyDescent="0.3">
      <c r="A4" s="126"/>
      <c r="B4" s="127"/>
      <c r="C4" s="357" t="s">
        <v>111</v>
      </c>
      <c r="D4" s="358"/>
      <c r="E4" s="358"/>
      <c r="F4" s="358"/>
      <c r="G4" s="358"/>
      <c r="H4" s="358"/>
      <c r="I4" s="358"/>
      <c r="J4" s="359"/>
      <c r="K4" s="357" t="s">
        <v>112</v>
      </c>
      <c r="L4" s="358"/>
      <c r="M4" s="358"/>
      <c r="N4" s="358"/>
      <c r="O4" s="358"/>
      <c r="P4" s="358"/>
      <c r="Q4" s="358"/>
      <c r="R4" s="359"/>
      <c r="S4" s="357" t="s">
        <v>2</v>
      </c>
      <c r="T4" s="358"/>
      <c r="U4" s="358"/>
      <c r="V4" s="358"/>
      <c r="W4" s="358"/>
      <c r="X4" s="358"/>
      <c r="Y4" s="358"/>
      <c r="Z4" s="359"/>
      <c r="AA4" s="357" t="s">
        <v>12</v>
      </c>
      <c r="AB4" s="358"/>
      <c r="AC4" s="358"/>
      <c r="AD4" s="358"/>
      <c r="AE4" s="358"/>
      <c r="AF4" s="358"/>
      <c r="AG4" s="358"/>
      <c r="AH4" s="359"/>
      <c r="AI4" s="357" t="s">
        <v>4</v>
      </c>
      <c r="AJ4" s="358"/>
      <c r="AK4" s="358"/>
      <c r="AL4" s="358"/>
      <c r="AM4" s="358"/>
      <c r="AN4" s="358"/>
      <c r="AO4" s="358"/>
      <c r="AP4" s="359"/>
      <c r="AQ4" s="357" t="s">
        <v>9</v>
      </c>
      <c r="AR4" s="358"/>
      <c r="AS4" s="358"/>
      <c r="AT4" s="358"/>
      <c r="AU4" s="358"/>
      <c r="AV4" s="358"/>
      <c r="AW4" s="358"/>
      <c r="AX4" s="359"/>
      <c r="AY4" s="357" t="s">
        <v>125</v>
      </c>
      <c r="AZ4" s="358"/>
      <c r="BA4" s="358"/>
      <c r="BB4" s="358"/>
      <c r="BC4" s="358"/>
      <c r="BD4" s="358"/>
      <c r="BE4" s="358"/>
      <c r="BF4" s="359"/>
      <c r="BG4" s="357" t="s">
        <v>117</v>
      </c>
      <c r="BH4" s="358"/>
      <c r="BI4" s="358"/>
      <c r="BJ4" s="358"/>
      <c r="BK4" s="358"/>
      <c r="BL4" s="358"/>
      <c r="BM4" s="358"/>
      <c r="BN4" s="359"/>
      <c r="BO4" s="357" t="s">
        <v>37</v>
      </c>
      <c r="BP4" s="358"/>
      <c r="BQ4" s="358"/>
      <c r="BR4" s="358"/>
      <c r="BS4" s="358"/>
      <c r="BT4" s="358"/>
      <c r="BU4" s="358"/>
      <c r="BV4" s="359"/>
      <c r="BW4" s="354" t="s">
        <v>127</v>
      </c>
      <c r="BY4" s="172"/>
      <c r="BZ4" s="353" t="s">
        <v>118</v>
      </c>
      <c r="CA4" s="353" t="s">
        <v>136</v>
      </c>
      <c r="CB4" s="352" t="s">
        <v>2</v>
      </c>
      <c r="CC4" s="352" t="s">
        <v>12</v>
      </c>
      <c r="CD4" s="352" t="s">
        <v>4</v>
      </c>
      <c r="CE4" s="353" t="s">
        <v>137</v>
      </c>
      <c r="CF4" s="353" t="s">
        <v>120</v>
      </c>
      <c r="CG4" s="353" t="s">
        <v>135</v>
      </c>
      <c r="CH4" s="352" t="s">
        <v>7</v>
      </c>
    </row>
    <row r="5" spans="1:86" s="106" customFormat="1" ht="13.5" customHeight="1" thickBot="1" x14ac:dyDescent="0.3">
      <c r="A5" s="118" t="s">
        <v>113</v>
      </c>
      <c r="B5" s="119" t="s">
        <v>0</v>
      </c>
      <c r="C5" s="114" t="s">
        <v>3</v>
      </c>
      <c r="D5" s="115" t="s">
        <v>6</v>
      </c>
      <c r="E5" s="115" t="s">
        <v>15</v>
      </c>
      <c r="F5" s="115" t="s">
        <v>11</v>
      </c>
      <c r="G5" s="115" t="s">
        <v>16</v>
      </c>
      <c r="H5" s="115" t="s">
        <v>14</v>
      </c>
      <c r="I5" s="115" t="s">
        <v>13</v>
      </c>
      <c r="J5" s="116" t="s">
        <v>22</v>
      </c>
      <c r="K5" s="114" t="s">
        <v>3</v>
      </c>
      <c r="L5" s="115" t="s">
        <v>6</v>
      </c>
      <c r="M5" s="115" t="s">
        <v>15</v>
      </c>
      <c r="N5" s="115" t="s">
        <v>11</v>
      </c>
      <c r="O5" s="115" t="s">
        <v>16</v>
      </c>
      <c r="P5" s="115" t="s">
        <v>14</v>
      </c>
      <c r="Q5" s="115" t="s">
        <v>13</v>
      </c>
      <c r="R5" s="116" t="s">
        <v>22</v>
      </c>
      <c r="S5" s="111" t="s">
        <v>3</v>
      </c>
      <c r="T5" s="112" t="s">
        <v>6</v>
      </c>
      <c r="U5" s="112" t="s">
        <v>15</v>
      </c>
      <c r="V5" s="112" t="s">
        <v>11</v>
      </c>
      <c r="W5" s="112" t="s">
        <v>16</v>
      </c>
      <c r="X5" s="112" t="s">
        <v>14</v>
      </c>
      <c r="Y5" s="112" t="s">
        <v>13</v>
      </c>
      <c r="Z5" s="113" t="s">
        <v>22</v>
      </c>
      <c r="AA5" s="111" t="s">
        <v>3</v>
      </c>
      <c r="AB5" s="112" t="s">
        <v>6</v>
      </c>
      <c r="AC5" s="112" t="s">
        <v>15</v>
      </c>
      <c r="AD5" s="112" t="s">
        <v>11</v>
      </c>
      <c r="AE5" s="112" t="s">
        <v>16</v>
      </c>
      <c r="AF5" s="112" t="s">
        <v>14</v>
      </c>
      <c r="AG5" s="112" t="s">
        <v>13</v>
      </c>
      <c r="AH5" s="113" t="s">
        <v>22</v>
      </c>
      <c r="AI5" s="111" t="s">
        <v>3</v>
      </c>
      <c r="AJ5" s="112" t="s">
        <v>6</v>
      </c>
      <c r="AK5" s="112" t="s">
        <v>15</v>
      </c>
      <c r="AL5" s="112" t="s">
        <v>11</v>
      </c>
      <c r="AM5" s="112" t="s">
        <v>16</v>
      </c>
      <c r="AN5" s="112" t="s">
        <v>14</v>
      </c>
      <c r="AO5" s="112" t="s">
        <v>13</v>
      </c>
      <c r="AP5" s="113" t="s">
        <v>22</v>
      </c>
      <c r="AQ5" s="111" t="s">
        <v>3</v>
      </c>
      <c r="AR5" s="112" t="s">
        <v>6</v>
      </c>
      <c r="AS5" s="112" t="s">
        <v>15</v>
      </c>
      <c r="AT5" s="112" t="s">
        <v>11</v>
      </c>
      <c r="AU5" s="112" t="s">
        <v>16</v>
      </c>
      <c r="AV5" s="112" t="s">
        <v>14</v>
      </c>
      <c r="AW5" s="112" t="s">
        <v>13</v>
      </c>
      <c r="AX5" s="113" t="s">
        <v>22</v>
      </c>
      <c r="AY5" s="111" t="s">
        <v>3</v>
      </c>
      <c r="AZ5" s="112" t="s">
        <v>6</v>
      </c>
      <c r="BA5" s="112" t="s">
        <v>15</v>
      </c>
      <c r="BB5" s="112" t="s">
        <v>11</v>
      </c>
      <c r="BC5" s="112" t="s">
        <v>16</v>
      </c>
      <c r="BD5" s="112" t="s">
        <v>14</v>
      </c>
      <c r="BE5" s="112" t="s">
        <v>13</v>
      </c>
      <c r="BF5" s="113" t="s">
        <v>22</v>
      </c>
      <c r="BG5" s="111" t="s">
        <v>3</v>
      </c>
      <c r="BH5" s="112" t="s">
        <v>6</v>
      </c>
      <c r="BI5" s="112" t="s">
        <v>15</v>
      </c>
      <c r="BJ5" s="112" t="s">
        <v>11</v>
      </c>
      <c r="BK5" s="112" t="s">
        <v>16</v>
      </c>
      <c r="BL5" s="112" t="s">
        <v>14</v>
      </c>
      <c r="BM5" s="112" t="s">
        <v>13</v>
      </c>
      <c r="BN5" s="113" t="s">
        <v>22</v>
      </c>
      <c r="BO5" s="111" t="s">
        <v>3</v>
      </c>
      <c r="BP5" s="112" t="s">
        <v>6</v>
      </c>
      <c r="BQ5" s="112" t="s">
        <v>15</v>
      </c>
      <c r="BR5" s="112" t="s">
        <v>11</v>
      </c>
      <c r="BS5" s="112" t="s">
        <v>16</v>
      </c>
      <c r="BT5" s="112" t="s">
        <v>14</v>
      </c>
      <c r="BU5" s="112" t="s">
        <v>13</v>
      </c>
      <c r="BV5" s="113" t="s">
        <v>22</v>
      </c>
      <c r="BW5" s="355"/>
      <c r="BY5" s="173"/>
      <c r="BZ5" s="353"/>
      <c r="CA5" s="353"/>
      <c r="CB5" s="352"/>
      <c r="CC5" s="352"/>
      <c r="CD5" s="352"/>
      <c r="CE5" s="353"/>
      <c r="CF5" s="353"/>
      <c r="CG5" s="353"/>
      <c r="CH5" s="352"/>
    </row>
    <row r="6" spans="1:86" s="75" customFormat="1" x14ac:dyDescent="0.25">
      <c r="A6" s="107">
        <v>1</v>
      </c>
      <c r="B6" s="158" t="s">
        <v>199</v>
      </c>
      <c r="C6" s="159">
        <v>19.738204707778536</v>
      </c>
      <c r="D6" s="159"/>
      <c r="E6" s="159">
        <v>529.67049043498423</v>
      </c>
      <c r="F6" s="159">
        <v>312.59051666548686</v>
      </c>
      <c r="G6" s="159">
        <v>10.717164630825295</v>
      </c>
      <c r="H6" s="159">
        <v>9.8070791512345661</v>
      </c>
      <c r="I6" s="159">
        <v>919.02695205312261</v>
      </c>
      <c r="J6" s="159">
        <v>2.9652527165595337E-3</v>
      </c>
      <c r="K6" s="156">
        <v>9.8841757218651139E-4</v>
      </c>
      <c r="L6" s="156"/>
      <c r="M6" s="156">
        <v>11.892640228548105</v>
      </c>
      <c r="N6" s="156">
        <v>0.25525883801716653</v>
      </c>
      <c r="O6" s="156">
        <v>0.10724330658223648</v>
      </c>
      <c r="P6" s="156">
        <v>9.8841757218651139E-4</v>
      </c>
      <c r="Q6" s="156">
        <v>6.6107838271764336</v>
      </c>
      <c r="R6" s="156">
        <v>0</v>
      </c>
      <c r="S6" s="156">
        <v>1.2782710252302059</v>
      </c>
      <c r="T6" s="156"/>
      <c r="U6" s="156">
        <v>486.13242611091971</v>
      </c>
      <c r="V6" s="156">
        <v>76.239365491069137</v>
      </c>
      <c r="W6" s="156">
        <v>5.4446981963893979</v>
      </c>
      <c r="X6" s="156">
        <v>0.30245577708907245</v>
      </c>
      <c r="Y6" s="156">
        <v>637.11716393269808</v>
      </c>
      <c r="Z6" s="156">
        <v>0</v>
      </c>
      <c r="AA6" s="156">
        <v>3.5583032598714412E-2</v>
      </c>
      <c r="AB6" s="156"/>
      <c r="AC6" s="156">
        <v>9.4245615507983853</v>
      </c>
      <c r="AD6" s="156">
        <v>1.8285725085450457</v>
      </c>
      <c r="AE6" s="156">
        <v>0.2725561455304305</v>
      </c>
      <c r="AF6" s="156">
        <v>0</v>
      </c>
      <c r="AG6" s="156">
        <v>9.4912797369209745</v>
      </c>
      <c r="AH6" s="156">
        <v>0</v>
      </c>
      <c r="AI6" s="156">
        <v>0.54832464817046722</v>
      </c>
      <c r="AJ6" s="156"/>
      <c r="AK6" s="156">
        <v>728.11459219408391</v>
      </c>
      <c r="AL6" s="156">
        <v>43.195330530908826</v>
      </c>
      <c r="AM6" s="156">
        <v>5.8966521312716802</v>
      </c>
      <c r="AN6" s="156">
        <v>0.19694220125816239</v>
      </c>
      <c r="AO6" s="156">
        <v>777.96049035944964</v>
      </c>
      <c r="AP6" s="156">
        <v>0</v>
      </c>
      <c r="AQ6" s="156">
        <v>0.15246341050976936</v>
      </c>
      <c r="AR6" s="156"/>
      <c r="AS6" s="156">
        <v>61.01007464321242</v>
      </c>
      <c r="AT6" s="156">
        <v>13.271976950534381</v>
      </c>
      <c r="AU6" s="156">
        <v>0.2725561455304305</v>
      </c>
      <c r="AV6" s="156">
        <v>0.31925887581624318</v>
      </c>
      <c r="AW6" s="156">
        <v>187.76326147405234</v>
      </c>
      <c r="AX6" s="156">
        <v>0</v>
      </c>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31">
        <f t="shared" ref="BW6:BW11" si="3">SUM(C6:BV6)</f>
        <v>4866.6901330042065</v>
      </c>
      <c r="BY6" s="170">
        <v>1</v>
      </c>
      <c r="BZ6" s="166">
        <f>IF(SUM(C6:J6)=0,"",SUMPRODUCT(C6:I6,TheModel!$G$27:$M$27)/SUM(C6:I6))</f>
        <v>71.928946615834391</v>
      </c>
      <c r="CA6" s="166">
        <f>IF(SUM(K6:R6)=0,"",TheModel!$G$28)</f>
        <v>96</v>
      </c>
      <c r="CB6" s="166">
        <f>IF(SUM(S6:Z6)=0,"",SUMPRODUCT(S6:Y6,TheModel!$G$29:$M$29)/SUM(S6:Y6))</f>
        <v>72.273947540352395</v>
      </c>
      <c r="CC6" s="165">
        <f>IF(SUM(AA6:AH6)=0,"",TheModel!$G$30)</f>
        <v>100</v>
      </c>
      <c r="CD6" s="165">
        <f>IF(SUM(AI6:AP6)=0,"",TheModel!$G$31)</f>
        <v>98</v>
      </c>
      <c r="CE6" s="166">
        <f>IF(SUM(AQ6:AX6)=0,"",SUMPRODUCT(AQ6:AW6,TheModel!$G$32:$M$32)/SUM(AQ6:AW6))</f>
        <v>92.129719899649842</v>
      </c>
      <c r="CF6" s="166" t="str">
        <f>IF(SUM(AY6:BF6)=0,"",SUMPRODUCT(AY6:BE6,TheModel!$G$33:$M$33)/SUM(AY6:BE6))</f>
        <v/>
      </c>
      <c r="CG6" s="165" t="str">
        <f>IF(SUM(BG6:BN6)=0,"",TheModel!$J$34)</f>
        <v/>
      </c>
      <c r="CH6" s="165" t="str">
        <f>IF(SUM(BO6:BV6)=0,"",TheModel!$G$35)</f>
        <v/>
      </c>
    </row>
    <row r="7" spans="1:86" s="75" customFormat="1" x14ac:dyDescent="0.25">
      <c r="A7" s="107">
        <v>2</v>
      </c>
      <c r="B7" s="158" t="s">
        <v>200</v>
      </c>
      <c r="C7" s="159"/>
      <c r="D7" s="159"/>
      <c r="E7" s="159">
        <v>304.24407158155088</v>
      </c>
      <c r="F7" s="159">
        <v>74.854098263649732</v>
      </c>
      <c r="G7" s="159">
        <v>15.196920172367612</v>
      </c>
      <c r="H7" s="159"/>
      <c r="I7" s="159">
        <v>1017.6463153180318</v>
      </c>
      <c r="J7" s="159">
        <v>7.0671856411335554E-2</v>
      </c>
      <c r="K7" s="156">
        <v>0</v>
      </c>
      <c r="L7" s="156"/>
      <c r="M7" s="156">
        <v>2.6380865001657985</v>
      </c>
      <c r="N7" s="156">
        <v>0</v>
      </c>
      <c r="O7" s="156">
        <v>0</v>
      </c>
      <c r="P7" s="156">
        <v>0</v>
      </c>
      <c r="Q7" s="156">
        <v>1.5930820219716098</v>
      </c>
      <c r="R7" s="156">
        <v>4.942087860932557E-4</v>
      </c>
      <c r="S7" s="156">
        <v>0</v>
      </c>
      <c r="T7" s="156"/>
      <c r="U7" s="156">
        <v>156.4964013086834</v>
      </c>
      <c r="V7" s="156">
        <v>2.6964031369248032</v>
      </c>
      <c r="W7" s="156">
        <v>0.68744442145571871</v>
      </c>
      <c r="X7" s="156">
        <v>0</v>
      </c>
      <c r="Y7" s="156">
        <v>170.64806989846375</v>
      </c>
      <c r="Z7" s="156">
        <v>4.9420878609325565E-3</v>
      </c>
      <c r="AA7" s="156">
        <v>0</v>
      </c>
      <c r="AB7" s="156"/>
      <c r="AC7" s="156">
        <v>3.1876466703014987</v>
      </c>
      <c r="AD7" s="156">
        <v>0.10872593294051625</v>
      </c>
      <c r="AE7" s="156">
        <v>0</v>
      </c>
      <c r="AF7" s="156">
        <v>0</v>
      </c>
      <c r="AG7" s="156">
        <v>3.5444654138608294</v>
      </c>
      <c r="AH7" s="156">
        <v>0</v>
      </c>
      <c r="AI7" s="156">
        <v>0</v>
      </c>
      <c r="AJ7" s="156"/>
      <c r="AK7" s="156">
        <v>190.98525565498736</v>
      </c>
      <c r="AL7" s="156">
        <v>1.6259469062468113</v>
      </c>
      <c r="AM7" s="156">
        <v>0</v>
      </c>
      <c r="AN7" s="156">
        <v>0</v>
      </c>
      <c r="AO7" s="156">
        <v>115.99623839273413</v>
      </c>
      <c r="AP7" s="156">
        <v>0</v>
      </c>
      <c r="AQ7" s="156">
        <v>0</v>
      </c>
      <c r="AR7" s="156"/>
      <c r="AS7" s="156">
        <v>50.213095293433057</v>
      </c>
      <c r="AT7" s="156">
        <v>1.1361859992283949</v>
      </c>
      <c r="AU7" s="156">
        <v>0</v>
      </c>
      <c r="AV7" s="156">
        <v>0</v>
      </c>
      <c r="AW7" s="156">
        <v>65.125104100617904</v>
      </c>
      <c r="AX7" s="156">
        <v>1.2355219652331391E-3</v>
      </c>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32">
        <f t="shared" si="3"/>
        <v>2178.700900662639</v>
      </c>
      <c r="BY7" s="170">
        <v>2</v>
      </c>
      <c r="BZ7" s="166">
        <f>IF(SUM(C7:J7)=0,"",SUMPRODUCT(C7:I7,TheModel!$G$27:$M$27)/SUM(C7:I7))</f>
        <v>73.841315468974443</v>
      </c>
      <c r="CA7" s="166">
        <f>IF(SUM(K7:R7)=0,"",TheModel!$G$28)</f>
        <v>96</v>
      </c>
      <c r="CB7" s="166">
        <f>IF(SUM(S7:Z7)=0,"",SUMPRODUCT(S7:Y7,TheModel!$G$29:$M$29)/SUM(S7:Y7))</f>
        <v>70.991524410028063</v>
      </c>
      <c r="CC7" s="165">
        <f>IF(SUM(AA7:AH7)=0,"",TheModel!$G$30)</f>
        <v>100</v>
      </c>
      <c r="CD7" s="165">
        <f>IF(SUM(AI7:AP7)=0,"",TheModel!$G$31)</f>
        <v>98</v>
      </c>
      <c r="CE7" s="166">
        <f>IF(SUM(AQ7:AX7)=0,"",SUMPRODUCT(AQ7:AW7,TheModel!$G$32:$M$32)/SUM(AQ7:AW7))</f>
        <v>90.551132156730461</v>
      </c>
      <c r="CF7" s="166" t="str">
        <f>IF(SUM(AY7:BF7)=0,"",SUMPRODUCT(AY7:BE7,TheModel!$G$33:$M$33)/SUM(AY7:BE7))</f>
        <v/>
      </c>
      <c r="CG7" s="165" t="str">
        <f>IF(SUM(BG7:BN7)=0,"",TheModel!$J$34)</f>
        <v/>
      </c>
      <c r="CH7" s="165" t="str">
        <f>IF(SUM(BO7:BV7)=0,"",TheModel!$G$35)</f>
        <v/>
      </c>
    </row>
    <row r="8" spans="1:86" s="75" customFormat="1" x14ac:dyDescent="0.25">
      <c r="A8" s="107">
        <v>3</v>
      </c>
      <c r="B8" s="158" t="s">
        <v>201</v>
      </c>
      <c r="C8" s="159"/>
      <c r="D8" s="159"/>
      <c r="E8" s="159">
        <v>6.1583356835080592</v>
      </c>
      <c r="F8" s="159"/>
      <c r="G8" s="159"/>
      <c r="H8" s="159"/>
      <c r="I8" s="159">
        <v>7.5702901853764892</v>
      </c>
      <c r="J8" s="159">
        <v>1.7791516299357206E-2</v>
      </c>
      <c r="K8" s="156">
        <v>0</v>
      </c>
      <c r="L8" s="156"/>
      <c r="M8" s="156">
        <v>5.7081114793771023E-2</v>
      </c>
      <c r="N8" s="156">
        <v>0</v>
      </c>
      <c r="O8" s="156">
        <v>0</v>
      </c>
      <c r="P8" s="156">
        <v>0</v>
      </c>
      <c r="Q8" s="156">
        <v>5.6834010400724402E-2</v>
      </c>
      <c r="R8" s="156">
        <v>0</v>
      </c>
      <c r="S8" s="156">
        <v>0</v>
      </c>
      <c r="T8" s="156"/>
      <c r="U8" s="156">
        <v>6.2482816825770318</v>
      </c>
      <c r="V8" s="156">
        <v>0</v>
      </c>
      <c r="W8" s="156">
        <v>0</v>
      </c>
      <c r="X8" s="156">
        <v>0</v>
      </c>
      <c r="Y8" s="156">
        <v>5.6211307330246898</v>
      </c>
      <c r="Z8" s="156">
        <v>0</v>
      </c>
      <c r="AA8" s="156">
        <v>0</v>
      </c>
      <c r="AB8" s="156"/>
      <c r="AC8" s="156">
        <v>0.28861793107846134</v>
      </c>
      <c r="AD8" s="156">
        <v>0</v>
      </c>
      <c r="AE8" s="156">
        <v>0</v>
      </c>
      <c r="AF8" s="156">
        <v>0</v>
      </c>
      <c r="AG8" s="156">
        <v>0.40302726505905001</v>
      </c>
      <c r="AH8" s="156">
        <v>0</v>
      </c>
      <c r="AI8" s="156">
        <v>0</v>
      </c>
      <c r="AJ8" s="156"/>
      <c r="AK8" s="156">
        <v>5.5282194812391579</v>
      </c>
      <c r="AL8" s="156">
        <v>0</v>
      </c>
      <c r="AM8" s="156">
        <v>0</v>
      </c>
      <c r="AN8" s="156">
        <v>0</v>
      </c>
      <c r="AO8" s="156">
        <v>6.6018880690267565</v>
      </c>
      <c r="AP8" s="156">
        <v>1.2355219652331391E-3</v>
      </c>
      <c r="AQ8" s="156">
        <v>0</v>
      </c>
      <c r="AR8" s="156"/>
      <c r="AS8" s="156">
        <v>0.36052530945503003</v>
      </c>
      <c r="AT8" s="156">
        <v>0</v>
      </c>
      <c r="AU8" s="156">
        <v>0</v>
      </c>
      <c r="AV8" s="156">
        <v>0</v>
      </c>
      <c r="AW8" s="156">
        <v>4.5168212004993098</v>
      </c>
      <c r="AX8" s="156">
        <v>9.8841757218651139E-4</v>
      </c>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32">
        <f t="shared" si="3"/>
        <v>43.431068121875306</v>
      </c>
      <c r="BY8" s="170">
        <v>3</v>
      </c>
      <c r="BZ8" s="166">
        <f>IF(SUM(C8:J8)=0,"",SUMPRODUCT(C8:I8,TheModel!$G$27:$M$27)/SUM(C8:I8))</f>
        <v>69.477051009755556</v>
      </c>
      <c r="CA8" s="166">
        <f>IF(SUM(K8:R8)=0,"",TheModel!$G$28)</f>
        <v>96</v>
      </c>
      <c r="CB8" s="166">
        <f>IF(SUM(S8:Z8)=0,"",SUMPRODUCT(S8:Y8,TheModel!$G$29:$M$29)/SUM(S8:Y8))</f>
        <v>69.998043052837559</v>
      </c>
      <c r="CC8" s="165">
        <f>IF(SUM(AA8:AH8)=0,"",TheModel!$G$30)</f>
        <v>100</v>
      </c>
      <c r="CD8" s="165">
        <f>IF(SUM(AI8:AP8)=0,"",TheModel!$G$31)</f>
        <v>98</v>
      </c>
      <c r="CE8" s="166">
        <f>IF(SUM(AQ8:AX8)=0,"",SUMPRODUCT(AQ8:AW8,TheModel!$G$32:$M$32)/SUM(AQ8:AW8))</f>
        <v>93.40865335900294</v>
      </c>
      <c r="CF8" s="166" t="str">
        <f>IF(SUM(AY8:BF8)=0,"",SUMPRODUCT(AY8:BE8,TheModel!$G$33:$M$33)/SUM(AY8:BE8))</f>
        <v/>
      </c>
      <c r="CG8" s="165" t="str">
        <f>IF(SUM(BG8:BN8)=0,"",TheModel!$J$34)</f>
        <v/>
      </c>
      <c r="CH8" s="165" t="str">
        <f>IF(SUM(BO8:BV8)=0,"",TheModel!$G$35)</f>
        <v/>
      </c>
    </row>
    <row r="9" spans="1:86" s="75" customFormat="1" x14ac:dyDescent="0.25">
      <c r="A9" s="107">
        <v>4</v>
      </c>
      <c r="B9" s="158" t="s">
        <v>202</v>
      </c>
      <c r="C9" s="159"/>
      <c r="D9" s="159"/>
      <c r="E9" s="159">
        <v>278.72016461497867</v>
      </c>
      <c r="F9" s="159">
        <v>81.526658189087826</v>
      </c>
      <c r="G9" s="159">
        <v>27.68582330133723</v>
      </c>
      <c r="H9" s="159">
        <v>14.133629969087973</v>
      </c>
      <c r="I9" s="159">
        <v>132.84702826776282</v>
      </c>
      <c r="J9" s="159">
        <v>0.11737458669714822</v>
      </c>
      <c r="K9" s="156">
        <v>0</v>
      </c>
      <c r="L9" s="156"/>
      <c r="M9" s="156">
        <v>11.270678471249742</v>
      </c>
      <c r="N9" s="156">
        <v>0.27972217292878271</v>
      </c>
      <c r="O9" s="156">
        <v>0.14356765236009078</v>
      </c>
      <c r="P9" s="156">
        <v>4.6208521499719407E-2</v>
      </c>
      <c r="Q9" s="156">
        <v>1.8340088051920715</v>
      </c>
      <c r="R9" s="156">
        <v>2.4710439304662785E-4</v>
      </c>
      <c r="S9" s="156">
        <v>0</v>
      </c>
      <c r="T9" s="156"/>
      <c r="U9" s="156">
        <v>203.60537121666471</v>
      </c>
      <c r="V9" s="156">
        <v>9.7462914705450956</v>
      </c>
      <c r="W9" s="156">
        <v>17.445570149091925</v>
      </c>
      <c r="X9" s="156">
        <v>5.1031999251989575</v>
      </c>
      <c r="Y9" s="156">
        <v>78.368416941558877</v>
      </c>
      <c r="Z9" s="156">
        <v>9.9830174790837653E-2</v>
      </c>
      <c r="AA9" s="156">
        <v>0</v>
      </c>
      <c r="AB9" s="156"/>
      <c r="AC9" s="156">
        <v>4.4155083993501929</v>
      </c>
      <c r="AD9" s="156">
        <v>5.5539183381160075</v>
      </c>
      <c r="AE9" s="156">
        <v>9.3899669357718582E-2</v>
      </c>
      <c r="AF9" s="156">
        <v>0.70424752018288939</v>
      </c>
      <c r="AG9" s="156">
        <v>3.5461951446121565</v>
      </c>
      <c r="AH9" s="156">
        <v>0</v>
      </c>
      <c r="AI9" s="156">
        <v>0</v>
      </c>
      <c r="AJ9" s="156"/>
      <c r="AK9" s="156">
        <v>371.78313849784132</v>
      </c>
      <c r="AL9" s="156">
        <v>4.5575934253520032</v>
      </c>
      <c r="AM9" s="156">
        <v>24.098855931872379</v>
      </c>
      <c r="AN9" s="156">
        <v>1.9414992161673548</v>
      </c>
      <c r="AO9" s="156">
        <v>126.8787158625076</v>
      </c>
      <c r="AP9" s="156">
        <v>1.8285725085450462E-2</v>
      </c>
      <c r="AQ9" s="156">
        <v>0</v>
      </c>
      <c r="AR9" s="156"/>
      <c r="AS9" s="156">
        <v>80.17623268108801</v>
      </c>
      <c r="AT9" s="156">
        <v>1.9516304962822666</v>
      </c>
      <c r="AU9" s="156">
        <v>1.3642633540104323</v>
      </c>
      <c r="AV9" s="156">
        <v>4.9069990371199355</v>
      </c>
      <c r="AW9" s="156">
        <v>16.302218122465177</v>
      </c>
      <c r="AX9" s="156">
        <v>3.8301180922227313E-2</v>
      </c>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32">
        <f t="shared" si="3"/>
        <v>1511.3052941367582</v>
      </c>
      <c r="BY9" s="170">
        <v>4</v>
      </c>
      <c r="BZ9" s="166">
        <f>IF(SUM(C9:J9)=0,"",SUMPRODUCT(C9:I9,TheModel!$G$27:$M$27)/SUM(C9:I9))</f>
        <v>67.789377038941666</v>
      </c>
      <c r="CA9" s="166">
        <f>IF(SUM(K9:R9)=0,"",TheModel!$G$28)</f>
        <v>96</v>
      </c>
      <c r="CB9" s="166">
        <f>IF(SUM(S9:Z9)=0,"",SUMPRODUCT(S9:Y9,TheModel!$G$29:$M$29)/SUM(S9:Y9))</f>
        <v>67.357399634849969</v>
      </c>
      <c r="CC9" s="165">
        <f>IF(SUM(AA9:AH9)=0,"",TheModel!$G$30)</f>
        <v>100</v>
      </c>
      <c r="CD9" s="165">
        <f>IF(SUM(AI9:AP9)=0,"",TheModel!$G$31)</f>
        <v>98</v>
      </c>
      <c r="CE9" s="166">
        <f>IF(SUM(AQ9:AX9)=0,"",SUMPRODUCT(AQ9:AW9,TheModel!$G$32:$M$32)/SUM(AQ9:AW9))</f>
        <v>87.834819795474758</v>
      </c>
      <c r="CF9" s="166" t="str">
        <f>IF(SUM(AY9:BF9)=0,"",SUMPRODUCT(AY9:BE9,TheModel!$G$33:$M$33)/SUM(AY9:BE9))</f>
        <v/>
      </c>
      <c r="CG9" s="165" t="str">
        <f>IF(SUM(BG9:BN9)=0,"",TheModel!$J$34)</f>
        <v/>
      </c>
      <c r="CH9" s="165" t="str">
        <f>IF(SUM(BO9:BV9)=0,"",TheModel!$G$35)</f>
        <v/>
      </c>
    </row>
    <row r="10" spans="1:86" s="75" customFormat="1" x14ac:dyDescent="0.25">
      <c r="A10" s="107">
        <v>5</v>
      </c>
      <c r="B10" s="158" t="s">
        <v>203</v>
      </c>
      <c r="C10" s="159">
        <v>0.43688056690643801</v>
      </c>
      <c r="D10" s="159"/>
      <c r="E10" s="159">
        <v>356.38161588803109</v>
      </c>
      <c r="F10" s="159">
        <v>33.96499303304509</v>
      </c>
      <c r="G10" s="159">
        <v>8.8885921222802491</v>
      </c>
      <c r="H10" s="159"/>
      <c r="I10" s="159">
        <v>184.8138234386478</v>
      </c>
      <c r="J10" s="159">
        <v>0.15196920172367612</v>
      </c>
      <c r="K10" s="156">
        <v>0</v>
      </c>
      <c r="L10" s="156"/>
      <c r="M10" s="156">
        <v>10.102368900925287</v>
      </c>
      <c r="N10" s="156">
        <v>0.64568377903083851</v>
      </c>
      <c r="O10" s="156">
        <v>0.24735149743967444</v>
      </c>
      <c r="P10" s="156">
        <v>0</v>
      </c>
      <c r="Q10" s="156">
        <v>5.6680805677035497</v>
      </c>
      <c r="R10" s="156">
        <v>0</v>
      </c>
      <c r="S10" s="156">
        <v>0.13615452056869193</v>
      </c>
      <c r="T10" s="156"/>
      <c r="U10" s="156">
        <v>150.13420450091186</v>
      </c>
      <c r="V10" s="156">
        <v>9.4799129348408293</v>
      </c>
      <c r="W10" s="156">
        <v>1.6303947853216503</v>
      </c>
      <c r="X10" s="156">
        <v>0</v>
      </c>
      <c r="Y10" s="156">
        <v>43.244998513911199</v>
      </c>
      <c r="Z10" s="156">
        <v>2.2239395374196507E-3</v>
      </c>
      <c r="AA10" s="156">
        <v>0</v>
      </c>
      <c r="AB10" s="156"/>
      <c r="AC10" s="156">
        <v>4.3502728395858838</v>
      </c>
      <c r="AD10" s="156">
        <v>0.56908141718638394</v>
      </c>
      <c r="AE10" s="156">
        <v>5.4362966470258125E-3</v>
      </c>
      <c r="AF10" s="156">
        <v>0</v>
      </c>
      <c r="AG10" s="156">
        <v>1.9432289469186814</v>
      </c>
      <c r="AH10" s="156">
        <v>0</v>
      </c>
      <c r="AI10" s="156">
        <v>0.28268742564534222</v>
      </c>
      <c r="AJ10" s="156"/>
      <c r="AK10" s="156">
        <v>211.47589323959286</v>
      </c>
      <c r="AL10" s="156">
        <v>8.5695803508570521</v>
      </c>
      <c r="AM10" s="156">
        <v>4.4372535859382962</v>
      </c>
      <c r="AN10" s="156">
        <v>0</v>
      </c>
      <c r="AO10" s="156">
        <v>56.152743589094854</v>
      </c>
      <c r="AP10" s="156">
        <v>3.2123571096061621E-3</v>
      </c>
      <c r="AQ10" s="156">
        <v>2.5945961269895925E-2</v>
      </c>
      <c r="AR10" s="156"/>
      <c r="AS10" s="156">
        <v>22.51590519001568</v>
      </c>
      <c r="AT10" s="156">
        <v>0.2335136514290633</v>
      </c>
      <c r="AU10" s="156">
        <v>8.1050240919293928E-2</v>
      </c>
      <c r="AV10" s="156">
        <v>0</v>
      </c>
      <c r="AW10" s="156">
        <v>2.0640629951184821</v>
      </c>
      <c r="AX10" s="156">
        <v>4.942087860932557E-4</v>
      </c>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32">
        <f t="shared" si="3"/>
        <v>1118.6396104869398</v>
      </c>
      <c r="BY10" s="170">
        <v>5</v>
      </c>
      <c r="BZ10" s="166">
        <f>IF(SUM(C10:J10)=0,"",SUMPRODUCT(C10:I10,TheModel!$G$27:$M$27)/SUM(C10:I10))</f>
        <v>66.293140521024455</v>
      </c>
      <c r="CA10" s="166">
        <f>IF(SUM(K10:R10)=0,"",TheModel!$G$28)</f>
        <v>96</v>
      </c>
      <c r="CB10" s="166">
        <f>IF(SUM(S10:Z10)=0,"",SUMPRODUCT(S10:Y10,TheModel!$G$29:$M$29)/SUM(S10:Y10))</f>
        <v>65.984580252966452</v>
      </c>
      <c r="CC10" s="165">
        <f>IF(SUM(AA10:AH10)=0,"",TheModel!$G$30)</f>
        <v>100</v>
      </c>
      <c r="CD10" s="165">
        <f>IF(SUM(AI10:AP10)=0,"",TheModel!$G$31)</f>
        <v>98</v>
      </c>
      <c r="CE10" s="166">
        <f>IF(SUM(AQ10:AX10)=0,"",SUMPRODUCT(AQ10:AW10,TheModel!$G$32:$M$32)/SUM(AQ10:AW10))</f>
        <v>86.744462072384721</v>
      </c>
      <c r="CF10" s="166" t="str">
        <f>IF(SUM(AY10:BF10)=0,"",SUMPRODUCT(AY10:BE10,TheModel!$G$33:$M$33)/SUM(AY10:BE10))</f>
        <v/>
      </c>
      <c r="CG10" s="165" t="str">
        <f>IF(SUM(BG10:BN10)=0,"",TheModel!$J$34)</f>
        <v/>
      </c>
      <c r="CH10" s="165" t="str">
        <f>IF(SUM(BO10:BV10)=0,"",TheModel!$G$35)</f>
        <v/>
      </c>
    </row>
    <row r="11" spans="1:86" s="75" customFormat="1" x14ac:dyDescent="0.25">
      <c r="A11" s="107">
        <v>6</v>
      </c>
      <c r="B11" s="158" t="s">
        <v>204</v>
      </c>
      <c r="C11" s="159"/>
      <c r="D11" s="159"/>
      <c r="E11" s="159">
        <v>16.472225944881259</v>
      </c>
      <c r="F11" s="159">
        <v>59.021131383580105</v>
      </c>
      <c r="G11" s="159">
        <v>5.444945300782444</v>
      </c>
      <c r="H11" s="159">
        <v>2.8130364104428112</v>
      </c>
      <c r="I11" s="159">
        <v>163.44176448404497</v>
      </c>
      <c r="J11" s="159">
        <v>2.4216230518569526E-2</v>
      </c>
      <c r="K11" s="156">
        <v>0</v>
      </c>
      <c r="L11" s="156"/>
      <c r="M11" s="156">
        <v>1.1366802080144881E-2</v>
      </c>
      <c r="N11" s="156">
        <v>0</v>
      </c>
      <c r="O11" s="156">
        <v>0</v>
      </c>
      <c r="P11" s="156">
        <v>0</v>
      </c>
      <c r="Q11" s="156">
        <v>8.96988946759259E-2</v>
      </c>
      <c r="R11" s="156">
        <v>0</v>
      </c>
      <c r="S11" s="156">
        <v>0</v>
      </c>
      <c r="T11" s="156"/>
      <c r="U11" s="156">
        <v>15.354819879524406</v>
      </c>
      <c r="V11" s="156">
        <v>9.8013957501944926</v>
      </c>
      <c r="W11" s="156">
        <v>5.3905823343121861</v>
      </c>
      <c r="X11" s="156">
        <v>0.36892685881861537</v>
      </c>
      <c r="Y11" s="156">
        <v>72.384042750755654</v>
      </c>
      <c r="Z11" s="156">
        <v>0</v>
      </c>
      <c r="AA11" s="156">
        <v>0</v>
      </c>
      <c r="AB11" s="156"/>
      <c r="AC11" s="156">
        <v>0.12108115259284764</v>
      </c>
      <c r="AD11" s="156">
        <v>4.4478790748393011E-2</v>
      </c>
      <c r="AE11" s="156">
        <v>0</v>
      </c>
      <c r="AF11" s="156">
        <v>0</v>
      </c>
      <c r="AG11" s="156">
        <v>0.66742896561894183</v>
      </c>
      <c r="AH11" s="156">
        <v>2.4710439304662785E-4</v>
      </c>
      <c r="AI11" s="156">
        <v>0</v>
      </c>
      <c r="AJ11" s="156"/>
      <c r="AK11" s="156">
        <v>13.271976950534381</v>
      </c>
      <c r="AL11" s="156">
        <v>7.0918960804382189E-2</v>
      </c>
      <c r="AM11" s="156">
        <v>0</v>
      </c>
      <c r="AN11" s="156">
        <v>6.3011620226890108E-2</v>
      </c>
      <c r="AO11" s="156">
        <v>2.0111826550065039</v>
      </c>
      <c r="AP11" s="156">
        <v>0</v>
      </c>
      <c r="AQ11" s="156">
        <v>0</v>
      </c>
      <c r="AR11" s="156"/>
      <c r="AS11" s="156">
        <v>3.8071373836693949</v>
      </c>
      <c r="AT11" s="156">
        <v>1.4122016062614782</v>
      </c>
      <c r="AU11" s="156">
        <v>4.4478790748393015E-3</v>
      </c>
      <c r="AV11" s="156">
        <v>0.29874921119337305</v>
      </c>
      <c r="AW11" s="156">
        <v>4.9692693441676861</v>
      </c>
      <c r="AX11" s="156">
        <v>2.4710439304662785E-4</v>
      </c>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32">
        <f t="shared" si="3"/>
        <v>377.36053175329687</v>
      </c>
      <c r="BY11" s="170">
        <v>6</v>
      </c>
      <c r="BZ11" s="166">
        <f>IF(SUM(C11:J11)=0,"",SUMPRODUCT(C11:I11,TheModel!$G$27:$M$27)/SUM(C11:I11))</f>
        <v>76.601732977860948</v>
      </c>
      <c r="CA11" s="166">
        <f>IF(SUM(K11:R11)=0,"",TheModel!$G$28)</f>
        <v>96</v>
      </c>
      <c r="CB11" s="166">
        <f>IF(SUM(S11:Z11)=0,"",SUMPRODUCT(S11:Y11,TheModel!$G$29:$M$29)/SUM(S11:Y11))</f>
        <v>76.862673756880312</v>
      </c>
      <c r="CC11" s="165">
        <f>IF(SUM(AA11:AH11)=0,"",TheModel!$G$30)</f>
        <v>100</v>
      </c>
      <c r="CD11" s="165">
        <f>IF(SUM(AI11:AP11)=0,"",TheModel!$G$31)</f>
        <v>98</v>
      </c>
      <c r="CE11" s="166">
        <f>IF(SUM(AQ11:AX11)=0,"",SUMPRODUCT(AQ11:AW11,TheModel!$G$32:$M$32)/SUM(AQ11:AW11))</f>
        <v>91.095786523469698</v>
      </c>
      <c r="CF11" s="166" t="str">
        <f>IF(SUM(AY11:BF11)=0,"",SUMPRODUCT(AY11:BE11,TheModel!$G$33:$M$33)/SUM(AY11:BE11))</f>
        <v/>
      </c>
      <c r="CG11" s="165" t="str">
        <f>IF(SUM(BG11:BN11)=0,"",TheModel!$J$34)</f>
        <v/>
      </c>
      <c r="CH11" s="165" t="str">
        <f>IF(SUM(BO11:BV11)=0,"",TheModel!$G$35)</f>
        <v/>
      </c>
    </row>
    <row r="12" spans="1:86" s="75" customFormat="1" x14ac:dyDescent="0.25">
      <c r="A12" s="107">
        <v>7</v>
      </c>
      <c r="B12" s="156" t="s">
        <v>205</v>
      </c>
      <c r="C12" s="156">
        <v>3.7386894667954791</v>
      </c>
      <c r="D12" s="156"/>
      <c r="E12" s="156">
        <v>131.90827867857868</v>
      </c>
      <c r="F12" s="156">
        <v>21.623858331117354</v>
      </c>
      <c r="G12" s="156"/>
      <c r="H12" s="156">
        <v>1.4744719133092283</v>
      </c>
      <c r="I12" s="156">
        <v>112.2573018215456</v>
      </c>
      <c r="J12" s="156">
        <v>8.203865849148044E-2</v>
      </c>
      <c r="K12" s="156">
        <v>0</v>
      </c>
      <c r="L12" s="156"/>
      <c r="M12" s="156">
        <v>1.5513213795467296</v>
      </c>
      <c r="N12" s="156">
        <v>2.8911213986455457E-2</v>
      </c>
      <c r="O12" s="156">
        <v>0</v>
      </c>
      <c r="P12" s="156">
        <v>0</v>
      </c>
      <c r="Q12" s="156">
        <v>1.0917072084800017</v>
      </c>
      <c r="R12" s="156">
        <v>4.942087860932557E-4</v>
      </c>
      <c r="S12" s="156">
        <v>0.10798461976137637</v>
      </c>
      <c r="T12" s="156"/>
      <c r="U12" s="156">
        <v>92.855900401489635</v>
      </c>
      <c r="V12" s="156">
        <v>4.1585198305816995</v>
      </c>
      <c r="W12" s="156">
        <v>0</v>
      </c>
      <c r="X12" s="156">
        <v>0.47023965996773281</v>
      </c>
      <c r="Y12" s="156">
        <v>54.232001141943407</v>
      </c>
      <c r="Z12" s="156">
        <v>3.3111988668248132E-2</v>
      </c>
      <c r="AA12" s="156">
        <v>3.8293767790435913</v>
      </c>
      <c r="AB12" s="156"/>
      <c r="AC12" s="156">
        <v>4.7392151542412755</v>
      </c>
      <c r="AD12" s="156">
        <v>6.0345363825916989</v>
      </c>
      <c r="AE12" s="156">
        <v>0</v>
      </c>
      <c r="AF12" s="156">
        <v>0</v>
      </c>
      <c r="AG12" s="156">
        <v>4.762937175973752</v>
      </c>
      <c r="AH12" s="156">
        <v>2.2239395374196507E-3</v>
      </c>
      <c r="AI12" s="156">
        <v>4.7691147857999175E-2</v>
      </c>
      <c r="AJ12" s="156"/>
      <c r="AK12" s="156">
        <v>155.14449317432528</v>
      </c>
      <c r="AL12" s="156">
        <v>1.6617770432385721</v>
      </c>
      <c r="AM12" s="156">
        <v>0</v>
      </c>
      <c r="AN12" s="156">
        <v>0.43440952297597174</v>
      </c>
      <c r="AO12" s="156">
        <v>78.249559728503442</v>
      </c>
      <c r="AP12" s="156">
        <v>2.2486499767243134E-2</v>
      </c>
      <c r="AQ12" s="156">
        <v>1.2602324045378021E-2</v>
      </c>
      <c r="AR12" s="156"/>
      <c r="AS12" s="156">
        <v>39.256980714531664</v>
      </c>
      <c r="AT12" s="156">
        <v>0.56438643371849795</v>
      </c>
      <c r="AU12" s="156">
        <v>0</v>
      </c>
      <c r="AV12" s="156">
        <v>0.16951361362998668</v>
      </c>
      <c r="AW12" s="156">
        <v>15.699036299038358</v>
      </c>
      <c r="AX12" s="156">
        <v>1.2355219652331391E-3</v>
      </c>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32">
        <f t="shared" ref="BW12:BW70" si="4">SUM(C12:BV12)</f>
        <v>736.24729197803447</v>
      </c>
      <c r="BY12" s="170">
        <v>7</v>
      </c>
      <c r="BZ12" s="166">
        <f>IF(SUM(C12:J12)=0,"",SUMPRODUCT(C12:I12,TheModel!$G$27:$M$27)/SUM(C12:I12))</f>
        <v>68.186280275696561</v>
      </c>
      <c r="CA12" s="166">
        <f>IF(SUM(K12:R12)=0,"",TheModel!$G$28)</f>
        <v>96</v>
      </c>
      <c r="CB12" s="166">
        <f>IF(SUM(S12:Z12)=0,"",SUMPRODUCT(S12:Y12,TheModel!$G$29:$M$29)/SUM(S12:Y12))</f>
        <v>68.350445545763037</v>
      </c>
      <c r="CC12" s="165">
        <f>IF(SUM(AA12:AH12)=0,"",TheModel!$G$30)</f>
        <v>100</v>
      </c>
      <c r="CD12" s="165">
        <f>IF(SUM(AI12:AP12)=0,"",TheModel!$G$31)</f>
        <v>98</v>
      </c>
      <c r="CE12" s="166">
        <f>IF(SUM(AQ12:AX12)=0,"",SUMPRODUCT(AQ12:AW12,TheModel!$G$32:$M$32)/SUM(AQ12:AW12))</f>
        <v>88.35806335700758</v>
      </c>
      <c r="CF12" s="166" t="str">
        <f>IF(SUM(AY12:BF12)=0,"",SUMPRODUCT(AY12:BE12,TheModel!$G$33:$M$33)/SUM(AY12:BE12))</f>
        <v/>
      </c>
      <c r="CG12" s="165" t="str">
        <f>IF(SUM(BG12:BN12)=0,"",TheModel!$J$34)</f>
        <v/>
      </c>
      <c r="CH12" s="165" t="str">
        <f>IF(SUM(BO12:BV12)=0,"",TheModel!$G$35)</f>
        <v/>
      </c>
    </row>
    <row r="13" spans="1:86" s="75" customFormat="1" x14ac:dyDescent="0.25">
      <c r="A13" s="107">
        <v>8</v>
      </c>
      <c r="B13" s="156"/>
      <c r="C13" s="156"/>
      <c r="D13" s="156"/>
      <c r="E13" s="156"/>
      <c r="F13" s="156"/>
      <c r="G13" s="156"/>
      <c r="H13" s="156"/>
      <c r="I13" s="156"/>
      <c r="J13" s="156"/>
      <c r="K13" s="156"/>
      <c r="L13" s="160"/>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32">
        <f t="shared" si="4"/>
        <v>0</v>
      </c>
      <c r="BY13" s="170">
        <v>8</v>
      </c>
      <c r="BZ13" s="166" t="str">
        <f>IF(SUM(C13:J13)=0,"",SUMPRODUCT(C13:I13,TheModel!$G$27:$M$27)/SUM(C13:I13))</f>
        <v/>
      </c>
      <c r="CA13" s="166" t="str">
        <f>IF(SUM(K13:R13)=0,"",TheModel!$G$28)</f>
        <v/>
      </c>
      <c r="CB13" s="166" t="str">
        <f>IF(SUM(S13:Z13)=0,"",SUMPRODUCT(S13:Y13,TheModel!$G$29:$M$29)/SUM(S13:Y13))</f>
        <v/>
      </c>
      <c r="CC13" s="165" t="str">
        <f>IF(SUM(AA13:AH13)=0,"",TheModel!$G$30)</f>
        <v/>
      </c>
      <c r="CD13" s="165" t="str">
        <f>IF(SUM(AI13:AP13)=0,"",TheModel!$G$31)</f>
        <v/>
      </c>
      <c r="CE13" s="166" t="str">
        <f>IF(SUM(AQ13:AX13)=0,"",SUMPRODUCT(AQ13:AW13,TheModel!$G$32:$M$32)/SUM(AQ13:AW13))</f>
        <v/>
      </c>
      <c r="CF13" s="166" t="str">
        <f>IF(SUM(AY13:BF13)=0,"",SUMPRODUCT(AY13:BE13,TheModel!$G$33:$M$33)/SUM(AY13:BE13))</f>
        <v/>
      </c>
      <c r="CG13" s="165" t="str">
        <f>IF(SUM(BG13:BN13)=0,"",TheModel!$J$34)</f>
        <v/>
      </c>
      <c r="CH13" s="165" t="str">
        <f>IF(SUM(BO13:BV13)=0,"",TheModel!$G$35)</f>
        <v/>
      </c>
    </row>
    <row r="14" spans="1:86" s="75" customFormat="1" x14ac:dyDescent="0.25">
      <c r="A14" s="107">
        <v>9</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32">
        <f t="shared" si="4"/>
        <v>0</v>
      </c>
      <c r="BY14" s="170">
        <v>9</v>
      </c>
      <c r="BZ14" s="166" t="str">
        <f>IF(SUM(C14:J14)=0,"",SUMPRODUCT(C14:I14,TheModel!$G$27:$M$27)/SUM(C14:I14))</f>
        <v/>
      </c>
      <c r="CA14" s="166" t="str">
        <f>IF(SUM(K14:R14)=0,"",TheModel!$G$28)</f>
        <v/>
      </c>
      <c r="CB14" s="166" t="str">
        <f>IF(SUM(S14:Z14)=0,"",SUMPRODUCT(S14:Y14,TheModel!$G$29:$M$29)/SUM(S14:Y14))</f>
        <v/>
      </c>
      <c r="CC14" s="165" t="str">
        <f>IF(SUM(AA14:AH14)=0,"",TheModel!$G$30)</f>
        <v/>
      </c>
      <c r="CD14" s="165" t="str">
        <f>IF(SUM(AI14:AP14)=0,"",TheModel!$G$31)</f>
        <v/>
      </c>
      <c r="CE14" s="166" t="str">
        <f>IF(SUM(AQ14:AX14)=0,"",SUMPRODUCT(AQ14:AW14,TheModel!$G$32:$M$32)/SUM(AQ14:AW14))</f>
        <v/>
      </c>
      <c r="CF14" s="166" t="str">
        <f>IF(SUM(AY14:BF14)=0,"",SUMPRODUCT(AY14:BE14,TheModel!$G$33:$M$33)/SUM(AY14:BE14))</f>
        <v/>
      </c>
      <c r="CG14" s="165" t="str">
        <f>IF(SUM(BG14:BN14)=0,"",TheModel!$J$34)</f>
        <v/>
      </c>
      <c r="CH14" s="165" t="str">
        <f>IF(SUM(BO14:BV14)=0,"",TheModel!$G$35)</f>
        <v/>
      </c>
    </row>
    <row r="15" spans="1:86" s="75" customFormat="1" x14ac:dyDescent="0.25">
      <c r="A15" s="107">
        <v>10</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32">
        <f t="shared" si="4"/>
        <v>0</v>
      </c>
      <c r="BY15" s="170">
        <v>10</v>
      </c>
      <c r="BZ15" s="166" t="str">
        <f>IF(SUM(C15:J15)=0,"",SUMPRODUCT(C15:I15,TheModel!$G$27:$M$27)/SUM(C15:I15))</f>
        <v/>
      </c>
      <c r="CA15" s="166" t="str">
        <f>IF(SUM(K15:R15)=0,"",TheModel!$G$28)</f>
        <v/>
      </c>
      <c r="CB15" s="166" t="str">
        <f>IF(SUM(S15:Z15)=0,"",SUMPRODUCT(S15:Y15,TheModel!$G$29:$M$29)/SUM(S15:Y15))</f>
        <v/>
      </c>
      <c r="CC15" s="165" t="str">
        <f>IF(SUM(AA15:AH15)=0,"",TheModel!$G$30)</f>
        <v/>
      </c>
      <c r="CD15" s="165" t="str">
        <f>IF(SUM(AI15:AP15)=0,"",TheModel!$G$31)</f>
        <v/>
      </c>
      <c r="CE15" s="166" t="str">
        <f>IF(SUM(AQ15:AX15)=0,"",SUMPRODUCT(AQ15:AW15,TheModel!$G$32:$M$32)/SUM(AQ15:AW15))</f>
        <v/>
      </c>
      <c r="CF15" s="166" t="str">
        <f>IF(SUM(AY15:BF15)=0,"",SUMPRODUCT(AY15:BE15,TheModel!$G$33:$M$33)/SUM(AY15:BE15))</f>
        <v/>
      </c>
      <c r="CG15" s="165" t="str">
        <f>IF(SUM(BG15:BN15)=0,"",TheModel!$J$34)</f>
        <v/>
      </c>
      <c r="CH15" s="165" t="str">
        <f>IF(SUM(BO15:BV15)=0,"",TheModel!$G$35)</f>
        <v/>
      </c>
    </row>
    <row r="16" spans="1:86" s="75" customFormat="1" x14ac:dyDescent="0.25">
      <c r="A16" s="107">
        <v>11</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32">
        <f t="shared" si="4"/>
        <v>0</v>
      </c>
      <c r="BY16" s="170">
        <v>11</v>
      </c>
      <c r="BZ16" s="166" t="str">
        <f>IF(SUM(C16:J16)=0,"",SUMPRODUCT(C16:I16,TheModel!$G$27:$M$27)/SUM(C16:I16))</f>
        <v/>
      </c>
      <c r="CA16" s="166" t="str">
        <f>IF(SUM(K16:R16)=0,"",TheModel!$G$28)</f>
        <v/>
      </c>
      <c r="CB16" s="166" t="str">
        <f>IF(SUM(S16:Z16)=0,"",SUMPRODUCT(S16:Y16,TheModel!$G$29:$M$29)/SUM(S16:Y16))</f>
        <v/>
      </c>
      <c r="CC16" s="165" t="str">
        <f>IF(SUM(AA16:AH16)=0,"",TheModel!$G$30)</f>
        <v/>
      </c>
      <c r="CD16" s="165" t="str">
        <f>IF(SUM(AI16:AP16)=0,"",TheModel!$G$31)</f>
        <v/>
      </c>
      <c r="CE16" s="166" t="str">
        <f>IF(SUM(AQ16:AX16)=0,"",SUMPRODUCT(AQ16:AW16,TheModel!$G$32:$M$32)/SUM(AQ16:AW16))</f>
        <v/>
      </c>
      <c r="CF16" s="166" t="str">
        <f>IF(SUM(AY16:BF16)=0,"",SUMPRODUCT(AY16:BE16,TheModel!$G$33:$M$33)/SUM(AY16:BE16))</f>
        <v/>
      </c>
      <c r="CG16" s="165" t="str">
        <f>IF(SUM(BG16:BN16)=0,"",TheModel!$J$34)</f>
        <v/>
      </c>
      <c r="CH16" s="165" t="str">
        <f>IF(SUM(BO16:BV16)=0,"",TheModel!$G$35)</f>
        <v/>
      </c>
    </row>
    <row r="17" spans="1:86" x14ac:dyDescent="0.25">
      <c r="A17" s="107">
        <v>12</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32">
        <f t="shared" si="4"/>
        <v>0</v>
      </c>
      <c r="BY17" s="170">
        <v>12</v>
      </c>
      <c r="BZ17" s="166" t="str">
        <f>IF(SUM(C17:J17)=0,"",SUMPRODUCT(C17:I17,TheModel!$G$27:$M$27)/SUM(C17:I17))</f>
        <v/>
      </c>
      <c r="CA17" s="166" t="str">
        <f>IF(SUM(K17:R17)=0,"",TheModel!$G$28)</f>
        <v/>
      </c>
      <c r="CB17" s="166" t="str">
        <f>IF(SUM(S17:Z17)=0,"",SUMPRODUCT(S17:Y17,TheModel!$G$29:$M$29)/SUM(S17:Y17))</f>
        <v/>
      </c>
      <c r="CC17" s="165" t="str">
        <f>IF(SUM(AA17:AH17)=0,"",TheModel!$G$30)</f>
        <v/>
      </c>
      <c r="CD17" s="165" t="str">
        <f>IF(SUM(AI17:AP17)=0,"",TheModel!$G$31)</f>
        <v/>
      </c>
      <c r="CE17" s="166" t="str">
        <f>IF(SUM(AQ17:AX17)=0,"",SUMPRODUCT(AQ17:AW17,TheModel!$G$32:$M$32)/SUM(AQ17:AW17))</f>
        <v/>
      </c>
      <c r="CF17" s="166" t="str">
        <f>IF(SUM(AY17:BF17)=0,"",SUMPRODUCT(AY17:BE17,TheModel!$G$33:$M$33)/SUM(AY17:BE17))</f>
        <v/>
      </c>
      <c r="CG17" s="165" t="str">
        <f>IF(SUM(BG17:BN17)=0,"",TheModel!$J$34)</f>
        <v/>
      </c>
      <c r="CH17" s="165" t="str">
        <f>IF(SUM(BO17:BV17)=0,"",TheModel!$G$35)</f>
        <v/>
      </c>
    </row>
    <row r="18" spans="1:86" x14ac:dyDescent="0.25">
      <c r="A18" s="107">
        <v>13</v>
      </c>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32">
        <f t="shared" si="4"/>
        <v>0</v>
      </c>
      <c r="BY18" s="170">
        <v>13</v>
      </c>
      <c r="BZ18" s="166" t="str">
        <f>IF(SUM(C18:J18)=0,"",SUMPRODUCT(C18:I18,TheModel!$G$27:$M$27)/SUM(C18:I18))</f>
        <v/>
      </c>
      <c r="CA18" s="166" t="str">
        <f>IF(SUM(K18:R18)=0,"",TheModel!$G$28)</f>
        <v/>
      </c>
      <c r="CB18" s="166" t="str">
        <f>IF(SUM(S18:Z18)=0,"",SUMPRODUCT(S18:Y18,TheModel!$G$29:$M$29)/SUM(S18:Y18))</f>
        <v/>
      </c>
      <c r="CC18" s="165" t="str">
        <f>IF(SUM(AA18:AH18)=0,"",TheModel!$G$30)</f>
        <v/>
      </c>
      <c r="CD18" s="165" t="str">
        <f>IF(SUM(AI18:AP18)=0,"",TheModel!$G$31)</f>
        <v/>
      </c>
      <c r="CE18" s="166" t="str">
        <f>IF(SUM(AQ18:AX18)=0,"",SUMPRODUCT(AQ18:AW18,TheModel!$G$32:$M$32)/SUM(AQ18:AW18))</f>
        <v/>
      </c>
      <c r="CF18" s="166" t="str">
        <f>IF(SUM(AY18:BF18)=0,"",SUMPRODUCT(AY18:BE18,TheModel!$G$33:$M$33)/SUM(AY18:BE18))</f>
        <v/>
      </c>
      <c r="CG18" s="165" t="str">
        <f>IF(SUM(BG18:BN18)=0,"",TheModel!$J$34)</f>
        <v/>
      </c>
      <c r="CH18" s="165" t="str">
        <f>IF(SUM(BO18:BV18)=0,"",TheModel!$G$35)</f>
        <v/>
      </c>
    </row>
    <row r="19" spans="1:86" x14ac:dyDescent="0.25">
      <c r="A19" s="107">
        <v>14</v>
      </c>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32">
        <f t="shared" si="4"/>
        <v>0</v>
      </c>
      <c r="BY19" s="170">
        <v>14</v>
      </c>
      <c r="BZ19" s="166" t="str">
        <f>IF(SUM(C19:J19)=0,"",SUMPRODUCT(C19:I19,TheModel!$G$27:$M$27)/SUM(C19:I19))</f>
        <v/>
      </c>
      <c r="CA19" s="166" t="str">
        <f>IF(SUM(K19:R19)=0,"",TheModel!$G$28)</f>
        <v/>
      </c>
      <c r="CB19" s="166" t="str">
        <f>IF(SUM(S19:Z19)=0,"",SUMPRODUCT(S19:Y19,TheModel!$G$29:$M$29)/SUM(S19:Y19))</f>
        <v/>
      </c>
      <c r="CC19" s="165" t="str">
        <f>IF(SUM(AA19:AH19)=0,"",TheModel!$G$30)</f>
        <v/>
      </c>
      <c r="CD19" s="165" t="str">
        <f>IF(SUM(AI19:AP19)=0,"",TheModel!$G$31)</f>
        <v/>
      </c>
      <c r="CE19" s="166" t="str">
        <f>IF(SUM(AQ19:AX19)=0,"",SUMPRODUCT(AQ19:AW19,TheModel!$G$32:$M$32)/SUM(AQ19:AW19))</f>
        <v/>
      </c>
      <c r="CF19" s="166" t="str">
        <f>IF(SUM(AY19:BF19)=0,"",SUMPRODUCT(AY19:BE19,TheModel!$G$33:$M$33)/SUM(AY19:BE19))</f>
        <v/>
      </c>
      <c r="CG19" s="165" t="str">
        <f>IF(SUM(BG19:BN19)=0,"",TheModel!$J$34)</f>
        <v/>
      </c>
      <c r="CH19" s="165" t="str">
        <f>IF(SUM(BO19:BV19)=0,"",TheModel!$G$35)</f>
        <v/>
      </c>
    </row>
    <row r="20" spans="1:86" x14ac:dyDescent="0.25">
      <c r="A20" s="107">
        <v>15</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32">
        <f t="shared" si="4"/>
        <v>0</v>
      </c>
      <c r="BY20" s="170">
        <v>15</v>
      </c>
      <c r="BZ20" s="166" t="str">
        <f>IF(SUM(C20:J20)=0,"",SUMPRODUCT(C20:I20,TheModel!$G$27:$M$27)/SUM(C20:I20))</f>
        <v/>
      </c>
      <c r="CA20" s="166" t="str">
        <f>IF(SUM(K20:R20)=0,"",TheModel!$G$28)</f>
        <v/>
      </c>
      <c r="CB20" s="166" t="str">
        <f>IF(SUM(S20:Z20)=0,"",SUMPRODUCT(S20:Y20,TheModel!$G$29:$M$29)/SUM(S20:Y20))</f>
        <v/>
      </c>
      <c r="CC20" s="165" t="str">
        <f>IF(SUM(AA20:AH20)=0,"",TheModel!$G$30)</f>
        <v/>
      </c>
      <c r="CD20" s="165" t="str">
        <f>IF(SUM(AI20:AP20)=0,"",TheModel!$G$31)</f>
        <v/>
      </c>
      <c r="CE20" s="166" t="str">
        <f>IF(SUM(AQ20:AX20)=0,"",SUMPRODUCT(AQ20:AW20,TheModel!$G$32:$M$32)/SUM(AQ20:AW20))</f>
        <v/>
      </c>
      <c r="CF20" s="166" t="str">
        <f>IF(SUM(AY20:BF20)=0,"",SUMPRODUCT(AY20:BE20,TheModel!$G$33:$M$33)/SUM(AY20:BE20))</f>
        <v/>
      </c>
      <c r="CG20" s="165" t="str">
        <f>IF(SUM(BG20:BN20)=0,"",TheModel!$J$34)</f>
        <v/>
      </c>
      <c r="CH20" s="165" t="str">
        <f>IF(SUM(BO20:BV20)=0,"",TheModel!$G$35)</f>
        <v/>
      </c>
    </row>
    <row r="21" spans="1:86" x14ac:dyDescent="0.25">
      <c r="A21" s="107">
        <v>16</v>
      </c>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32">
        <f t="shared" si="4"/>
        <v>0</v>
      </c>
      <c r="BY21" s="170">
        <v>16</v>
      </c>
      <c r="BZ21" s="166" t="str">
        <f>IF(SUM(C21:J21)=0,"",SUMPRODUCT(C21:I21,TheModel!$G$27:$M$27)/SUM(C21:I21))</f>
        <v/>
      </c>
      <c r="CA21" s="166" t="str">
        <f>IF(SUM(K21:R21)=0,"",TheModel!$G$28)</f>
        <v/>
      </c>
      <c r="CB21" s="166" t="str">
        <f>IF(SUM(S21:Z21)=0,"",SUMPRODUCT(S21:Y21,TheModel!$G$29:$M$29)/SUM(S21:Y21))</f>
        <v/>
      </c>
      <c r="CC21" s="165" t="str">
        <f>IF(SUM(AA21:AH21)=0,"",TheModel!$G$30)</f>
        <v/>
      </c>
      <c r="CD21" s="165" t="str">
        <f>IF(SUM(AI21:AP21)=0,"",TheModel!$G$31)</f>
        <v/>
      </c>
      <c r="CE21" s="166" t="str">
        <f>IF(SUM(AQ21:AX21)=0,"",SUMPRODUCT(AQ21:AW21,TheModel!$G$32:$M$32)/SUM(AQ21:AW21))</f>
        <v/>
      </c>
      <c r="CF21" s="166" t="str">
        <f>IF(SUM(AY21:BF21)=0,"",SUMPRODUCT(AY21:BE21,TheModel!$G$33:$M$33)/SUM(AY21:BE21))</f>
        <v/>
      </c>
      <c r="CG21" s="165" t="str">
        <f>IF(SUM(BG21:BN21)=0,"",TheModel!$J$34)</f>
        <v/>
      </c>
      <c r="CH21" s="165" t="str">
        <f>IF(SUM(BO21:BV21)=0,"",TheModel!$G$35)</f>
        <v/>
      </c>
    </row>
    <row r="22" spans="1:86" x14ac:dyDescent="0.25">
      <c r="A22" s="107">
        <v>17</v>
      </c>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32">
        <f t="shared" si="4"/>
        <v>0</v>
      </c>
      <c r="BY22" s="170">
        <v>17</v>
      </c>
      <c r="BZ22" s="166" t="str">
        <f>IF(SUM(C22:J22)=0,"",SUMPRODUCT(C22:I22,TheModel!$G$27:$M$27)/SUM(C22:I22))</f>
        <v/>
      </c>
      <c r="CA22" s="166" t="str">
        <f>IF(SUM(K22:R22)=0,"",TheModel!$G$28)</f>
        <v/>
      </c>
      <c r="CB22" s="166" t="str">
        <f>IF(SUM(S22:Z22)=0,"",SUMPRODUCT(S22:Y22,TheModel!$G$29:$M$29)/SUM(S22:Y22))</f>
        <v/>
      </c>
      <c r="CC22" s="165" t="str">
        <f>IF(SUM(AA22:AH22)=0,"",TheModel!$G$30)</f>
        <v/>
      </c>
      <c r="CD22" s="165" t="str">
        <f>IF(SUM(AI22:AP22)=0,"",TheModel!$G$31)</f>
        <v/>
      </c>
      <c r="CE22" s="166" t="str">
        <f>IF(SUM(AQ22:AX22)=0,"",SUMPRODUCT(AQ22:AW22,TheModel!$G$32:$M$32)/SUM(AQ22:AW22))</f>
        <v/>
      </c>
      <c r="CF22" s="166" t="str">
        <f>IF(SUM(AY22:BF22)=0,"",SUMPRODUCT(AY22:BE22,TheModel!$G$33:$M$33)/SUM(AY22:BE22))</f>
        <v/>
      </c>
      <c r="CG22" s="165" t="str">
        <f>IF(SUM(BG22:BN22)=0,"",TheModel!$J$34)</f>
        <v/>
      </c>
      <c r="CH22" s="165" t="str">
        <f>IF(SUM(BO22:BV22)=0,"",TheModel!$G$35)</f>
        <v/>
      </c>
    </row>
    <row r="23" spans="1:86" x14ac:dyDescent="0.25">
      <c r="A23" s="107">
        <v>18</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32">
        <f t="shared" si="4"/>
        <v>0</v>
      </c>
      <c r="BY23" s="170">
        <v>18</v>
      </c>
      <c r="BZ23" s="166" t="str">
        <f>IF(SUM(C23:J23)=0,"",SUMPRODUCT(C23:I23,TheModel!$G$27:$M$27)/SUM(C23:I23))</f>
        <v/>
      </c>
      <c r="CA23" s="166" t="str">
        <f>IF(SUM(K23:R23)=0,"",TheModel!$G$28)</f>
        <v/>
      </c>
      <c r="CB23" s="166" t="str">
        <f>IF(SUM(S23:Z23)=0,"",SUMPRODUCT(S23:Y23,TheModel!$G$29:$M$29)/SUM(S23:Y23))</f>
        <v/>
      </c>
      <c r="CC23" s="165" t="str">
        <f>IF(SUM(AA23:AH23)=0,"",TheModel!$G$30)</f>
        <v/>
      </c>
      <c r="CD23" s="165" t="str">
        <f>IF(SUM(AI23:AP23)=0,"",TheModel!$G$31)</f>
        <v/>
      </c>
      <c r="CE23" s="166" t="str">
        <f>IF(SUM(AQ23:AX23)=0,"",SUMPRODUCT(AQ23:AW23,TheModel!$G$32:$M$32)/SUM(AQ23:AW23))</f>
        <v/>
      </c>
      <c r="CF23" s="166" t="str">
        <f>IF(SUM(AY23:BF23)=0,"",SUMPRODUCT(AY23:BE23,TheModel!$G$33:$M$33)/SUM(AY23:BE23))</f>
        <v/>
      </c>
      <c r="CG23" s="165" t="str">
        <f>IF(SUM(BG23:BN23)=0,"",TheModel!$J$34)</f>
        <v/>
      </c>
      <c r="CH23" s="165" t="str">
        <f>IF(SUM(BO23:BV23)=0,"",TheModel!$G$35)</f>
        <v/>
      </c>
    </row>
    <row r="24" spans="1:86" x14ac:dyDescent="0.25">
      <c r="A24" s="107">
        <v>19</v>
      </c>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32">
        <f t="shared" si="4"/>
        <v>0</v>
      </c>
      <c r="BY24" s="170">
        <v>19</v>
      </c>
      <c r="BZ24" s="166" t="str">
        <f>IF(SUM(C24:J24)=0,"",SUMPRODUCT(C24:I24,TheModel!$G$27:$M$27)/SUM(C24:I24))</f>
        <v/>
      </c>
      <c r="CA24" s="166" t="str">
        <f>IF(SUM(K24:R24)=0,"",TheModel!$G$28)</f>
        <v/>
      </c>
      <c r="CB24" s="166" t="str">
        <f>IF(SUM(S24:Z24)=0,"",SUMPRODUCT(S24:Y24,TheModel!$G$29:$M$29)/SUM(S24:Y24))</f>
        <v/>
      </c>
      <c r="CC24" s="165" t="str">
        <f>IF(SUM(AA24:AH24)=0,"",TheModel!$G$30)</f>
        <v/>
      </c>
      <c r="CD24" s="165" t="str">
        <f>IF(SUM(AI24:AP24)=0,"",TheModel!$G$31)</f>
        <v/>
      </c>
      <c r="CE24" s="166" t="str">
        <f>IF(SUM(AQ24:AX24)=0,"",SUMPRODUCT(AQ24:AW24,TheModel!$G$32:$M$32)/SUM(AQ24:AW24))</f>
        <v/>
      </c>
      <c r="CF24" s="166" t="str">
        <f>IF(SUM(AY24:BF24)=0,"",SUMPRODUCT(AY24:BE24,TheModel!$G$33:$M$33)/SUM(AY24:BE24))</f>
        <v/>
      </c>
      <c r="CG24" s="165" t="str">
        <f>IF(SUM(BG24:BN24)=0,"",TheModel!$J$34)</f>
        <v/>
      </c>
      <c r="CH24" s="165" t="str">
        <f>IF(SUM(BO24:BV24)=0,"",TheModel!$G$35)</f>
        <v/>
      </c>
    </row>
    <row r="25" spans="1:86" x14ac:dyDescent="0.25">
      <c r="A25" s="107">
        <v>20</v>
      </c>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32">
        <f t="shared" si="4"/>
        <v>0</v>
      </c>
      <c r="BY25" s="170">
        <v>20</v>
      </c>
      <c r="BZ25" s="166" t="str">
        <f>IF(SUM(C25:J25)=0,"",SUMPRODUCT(C25:I25,TheModel!$G$27:$M$27)/SUM(C25:I25))</f>
        <v/>
      </c>
      <c r="CA25" s="166" t="str">
        <f>IF(SUM(K25:R25)=0,"",TheModel!$G$28)</f>
        <v/>
      </c>
      <c r="CB25" s="166" t="str">
        <f>IF(SUM(S25:Z25)=0,"",SUMPRODUCT(S25:Y25,TheModel!$G$29:$M$29)/SUM(S25:Y25))</f>
        <v/>
      </c>
      <c r="CC25" s="165" t="str">
        <f>IF(SUM(AA25:AH25)=0,"",TheModel!$G$30)</f>
        <v/>
      </c>
      <c r="CD25" s="165" t="str">
        <f>IF(SUM(AI25:AP25)=0,"",TheModel!$G$31)</f>
        <v/>
      </c>
      <c r="CE25" s="166" t="str">
        <f>IF(SUM(AQ25:AX25)=0,"",SUMPRODUCT(AQ25:AW25,TheModel!$G$32:$M$32)/SUM(AQ25:AW25))</f>
        <v/>
      </c>
      <c r="CF25" s="166" t="str">
        <f>IF(SUM(AY25:BF25)=0,"",SUMPRODUCT(AY25:BE25,TheModel!$G$33:$M$33)/SUM(AY25:BE25))</f>
        <v/>
      </c>
      <c r="CG25" s="165" t="str">
        <f>IF(SUM(BG25:BN25)=0,"",TheModel!$J$34)</f>
        <v/>
      </c>
      <c r="CH25" s="165" t="str">
        <f>IF(SUM(BO25:BV25)=0,"",TheModel!$G$35)</f>
        <v/>
      </c>
    </row>
    <row r="26" spans="1:86" x14ac:dyDescent="0.25">
      <c r="A26" s="107">
        <v>21</v>
      </c>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32">
        <f t="shared" si="4"/>
        <v>0</v>
      </c>
      <c r="BY26" s="170">
        <v>21</v>
      </c>
      <c r="BZ26" s="166" t="str">
        <f>IF(SUM(C26:J26)=0,"",SUMPRODUCT(C26:I26,TheModel!$G$27:$M$27)/SUM(C26:I26))</f>
        <v/>
      </c>
      <c r="CA26" s="166" t="str">
        <f>IF(SUM(K26:R26)=0,"",TheModel!$G$28)</f>
        <v/>
      </c>
      <c r="CB26" s="166" t="str">
        <f>IF(SUM(S26:Z26)=0,"",SUMPRODUCT(S26:Y26,TheModel!$G$29:$M$29)/SUM(S26:Y26))</f>
        <v/>
      </c>
      <c r="CC26" s="165" t="str">
        <f>IF(SUM(AA26:AH26)=0,"",TheModel!$G$30)</f>
        <v/>
      </c>
      <c r="CD26" s="165" t="str">
        <f>IF(SUM(AI26:AP26)=0,"",TheModel!$G$31)</f>
        <v/>
      </c>
      <c r="CE26" s="166" t="str">
        <f>IF(SUM(AQ26:AX26)=0,"",SUMPRODUCT(AQ26:AW26,TheModel!$G$32:$M$32)/SUM(AQ26:AW26))</f>
        <v/>
      </c>
      <c r="CF26" s="166" t="str">
        <f>IF(SUM(AY26:BF26)=0,"",SUMPRODUCT(AY26:BE26,TheModel!$G$33:$M$33)/SUM(AY26:BE26))</f>
        <v/>
      </c>
      <c r="CG26" s="165" t="str">
        <f>IF(SUM(BG26:BN26)=0,"",TheModel!$J$34)</f>
        <v/>
      </c>
      <c r="CH26" s="165" t="str">
        <f>IF(SUM(BO26:BV26)=0,"",TheModel!$G$35)</f>
        <v/>
      </c>
    </row>
    <row r="27" spans="1:86" x14ac:dyDescent="0.25">
      <c r="A27" s="107">
        <v>22</v>
      </c>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32">
        <f t="shared" si="4"/>
        <v>0</v>
      </c>
      <c r="BY27" s="170">
        <v>22</v>
      </c>
      <c r="BZ27" s="166" t="str">
        <f>IF(SUM(C27:J27)=0,"",SUMPRODUCT(C27:I27,TheModel!$G$27:$M$27)/SUM(C27:I27))</f>
        <v/>
      </c>
      <c r="CA27" s="166" t="str">
        <f>IF(SUM(K27:R27)=0,"",TheModel!$G$28)</f>
        <v/>
      </c>
      <c r="CB27" s="166" t="str">
        <f>IF(SUM(S27:Z27)=0,"",SUMPRODUCT(S27:Y27,TheModel!$G$29:$M$29)/SUM(S27:Y27))</f>
        <v/>
      </c>
      <c r="CC27" s="165" t="str">
        <f>IF(SUM(AA27:AH27)=0,"",TheModel!$G$30)</f>
        <v/>
      </c>
      <c r="CD27" s="165" t="str">
        <f>IF(SUM(AI27:AP27)=0,"",TheModel!$G$31)</f>
        <v/>
      </c>
      <c r="CE27" s="166" t="str">
        <f>IF(SUM(AQ27:AX27)=0,"",SUMPRODUCT(AQ27:AW27,TheModel!$G$32:$M$32)/SUM(AQ27:AW27))</f>
        <v/>
      </c>
      <c r="CF27" s="166" t="str">
        <f>IF(SUM(AY27:BF27)=0,"",SUMPRODUCT(AY27:BE27,TheModel!$G$33:$M$33)/SUM(AY27:BE27))</f>
        <v/>
      </c>
      <c r="CG27" s="165" t="str">
        <f>IF(SUM(BG27:BN27)=0,"",TheModel!$J$34)</f>
        <v/>
      </c>
      <c r="CH27" s="165" t="str">
        <f>IF(SUM(BO27:BV27)=0,"",TheModel!$G$35)</f>
        <v/>
      </c>
    </row>
    <row r="28" spans="1:86" x14ac:dyDescent="0.25">
      <c r="A28" s="107">
        <v>23</v>
      </c>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32">
        <f t="shared" si="4"/>
        <v>0</v>
      </c>
      <c r="BY28" s="170">
        <v>23</v>
      </c>
      <c r="BZ28" s="166" t="str">
        <f>IF(SUM(C28:J28)=0,"",SUMPRODUCT(C28:I28,TheModel!$G$27:$M$27)/SUM(C28:I28))</f>
        <v/>
      </c>
      <c r="CA28" s="166" t="str">
        <f>IF(SUM(K28:R28)=0,"",TheModel!$G$28)</f>
        <v/>
      </c>
      <c r="CB28" s="166" t="str">
        <f>IF(SUM(S28:Z28)=0,"",SUMPRODUCT(S28:Y28,TheModel!$G$29:$M$29)/SUM(S28:Y28))</f>
        <v/>
      </c>
      <c r="CC28" s="165" t="str">
        <f>IF(SUM(AA28:AH28)=0,"",TheModel!$G$30)</f>
        <v/>
      </c>
      <c r="CD28" s="165" t="str">
        <f>IF(SUM(AI28:AP28)=0,"",TheModel!$G$31)</f>
        <v/>
      </c>
      <c r="CE28" s="166" t="str">
        <f>IF(SUM(AQ28:AX28)=0,"",SUMPRODUCT(AQ28:AW28,TheModel!$G$32:$M$32)/SUM(AQ28:AW28))</f>
        <v/>
      </c>
      <c r="CF28" s="166" t="str">
        <f>IF(SUM(AY28:BF28)=0,"",SUMPRODUCT(AY28:BE28,TheModel!$G$33:$M$33)/SUM(AY28:BE28))</f>
        <v/>
      </c>
      <c r="CG28" s="165" t="str">
        <f>IF(SUM(BG28:BN28)=0,"",TheModel!$J$34)</f>
        <v/>
      </c>
      <c r="CH28" s="165" t="str">
        <f>IF(SUM(BO28:BV28)=0,"",TheModel!$G$35)</f>
        <v/>
      </c>
    </row>
    <row r="29" spans="1:86" x14ac:dyDescent="0.25">
      <c r="A29" s="107">
        <v>24</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32">
        <f t="shared" si="4"/>
        <v>0</v>
      </c>
      <c r="BY29" s="170">
        <v>24</v>
      </c>
      <c r="BZ29" s="166" t="str">
        <f>IF(SUM(C29:J29)=0,"",SUMPRODUCT(C29:I29,TheModel!$G$27:$M$27)/SUM(C29:I29))</f>
        <v/>
      </c>
      <c r="CA29" s="166" t="str">
        <f>IF(SUM(K29:R29)=0,"",TheModel!$G$28)</f>
        <v/>
      </c>
      <c r="CB29" s="166" t="str">
        <f>IF(SUM(S29:Z29)=0,"",SUMPRODUCT(S29:Y29,TheModel!$G$29:$M$29)/SUM(S29:Y29))</f>
        <v/>
      </c>
      <c r="CC29" s="165" t="str">
        <f>IF(SUM(AA29:AH29)=0,"",TheModel!$G$30)</f>
        <v/>
      </c>
      <c r="CD29" s="165" t="str">
        <f>IF(SUM(AI29:AP29)=0,"",TheModel!$G$31)</f>
        <v/>
      </c>
      <c r="CE29" s="166" t="str">
        <f>IF(SUM(AQ29:AX29)=0,"",SUMPRODUCT(AQ29:AW29,TheModel!$G$32:$M$32)/SUM(AQ29:AW29))</f>
        <v/>
      </c>
      <c r="CF29" s="166" t="str">
        <f>IF(SUM(AY29:BF29)=0,"",SUMPRODUCT(AY29:BE29,TheModel!$G$33:$M$33)/SUM(AY29:BE29))</f>
        <v/>
      </c>
      <c r="CG29" s="165" t="str">
        <f>IF(SUM(BG29:BN29)=0,"",TheModel!$J$34)</f>
        <v/>
      </c>
      <c r="CH29" s="165" t="str">
        <f>IF(SUM(BO29:BV29)=0,"",TheModel!$G$35)</f>
        <v/>
      </c>
    </row>
    <row r="30" spans="1:86" x14ac:dyDescent="0.25">
      <c r="A30" s="107">
        <v>25</v>
      </c>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32">
        <f t="shared" si="4"/>
        <v>0</v>
      </c>
      <c r="BY30" s="170">
        <v>25</v>
      </c>
      <c r="BZ30" s="166" t="str">
        <f>IF(SUM(C30:J30)=0,"",SUMPRODUCT(C30:I30,TheModel!$G$27:$M$27)/SUM(C30:I30))</f>
        <v/>
      </c>
      <c r="CA30" s="166" t="str">
        <f>IF(SUM(K30:R30)=0,"",TheModel!$G$28)</f>
        <v/>
      </c>
      <c r="CB30" s="166" t="str">
        <f>IF(SUM(S30:Z30)=0,"",SUMPRODUCT(S30:Y30,TheModel!$G$29:$M$29)/SUM(S30:Y30))</f>
        <v/>
      </c>
      <c r="CC30" s="165" t="str">
        <f>IF(SUM(AA30:AH30)=0,"",TheModel!$G$30)</f>
        <v/>
      </c>
      <c r="CD30" s="165" t="str">
        <f>IF(SUM(AI30:AP30)=0,"",TheModel!$G$31)</f>
        <v/>
      </c>
      <c r="CE30" s="166" t="str">
        <f>IF(SUM(AQ30:AX30)=0,"",SUMPRODUCT(AQ30:AW30,TheModel!$G$32:$M$32)/SUM(AQ30:AW30))</f>
        <v/>
      </c>
      <c r="CF30" s="166" t="str">
        <f>IF(SUM(AY30:BF30)=0,"",SUMPRODUCT(AY30:BE30,TheModel!$G$33:$M$33)/SUM(AY30:BE30))</f>
        <v/>
      </c>
      <c r="CG30" s="165" t="str">
        <f>IF(SUM(BG30:BN30)=0,"",TheModel!$J$34)</f>
        <v/>
      </c>
      <c r="CH30" s="165" t="str">
        <f>IF(SUM(BO30:BV30)=0,"",TheModel!$G$35)</f>
        <v/>
      </c>
    </row>
    <row r="31" spans="1:86" x14ac:dyDescent="0.25">
      <c r="A31" s="107">
        <v>26</v>
      </c>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32">
        <f t="shared" si="4"/>
        <v>0</v>
      </c>
      <c r="BY31" s="170">
        <v>26</v>
      </c>
      <c r="BZ31" s="166" t="str">
        <f>IF(SUM(C31:J31)=0,"",SUMPRODUCT(C31:I31,TheModel!$G$27:$M$27)/SUM(C31:I31))</f>
        <v/>
      </c>
      <c r="CA31" s="166" t="str">
        <f>IF(SUM(K31:R31)=0,"",TheModel!$G$28)</f>
        <v/>
      </c>
      <c r="CB31" s="166" t="str">
        <f>IF(SUM(S31:Z31)=0,"",SUMPRODUCT(S31:Y31,TheModel!$G$29:$M$29)/SUM(S31:Y31))</f>
        <v/>
      </c>
      <c r="CC31" s="165" t="str">
        <f>IF(SUM(AA31:AH31)=0,"",TheModel!$G$30)</f>
        <v/>
      </c>
      <c r="CD31" s="165" t="str">
        <f>IF(SUM(AI31:AP31)=0,"",TheModel!$G$31)</f>
        <v/>
      </c>
      <c r="CE31" s="166" t="str">
        <f>IF(SUM(AQ31:AX31)=0,"",SUMPRODUCT(AQ31:AW31,TheModel!$G$32:$M$32)/SUM(AQ31:AW31))</f>
        <v/>
      </c>
      <c r="CF31" s="166" t="str">
        <f>IF(SUM(AY31:BF31)=0,"",SUMPRODUCT(AY31:BE31,TheModel!$G$33:$M$33)/SUM(AY31:BE31))</f>
        <v/>
      </c>
      <c r="CG31" s="165" t="str">
        <f>IF(SUM(BG31:BN31)=0,"",TheModel!$J$34)</f>
        <v/>
      </c>
      <c r="CH31" s="165" t="str">
        <f>IF(SUM(BO31:BV31)=0,"",TheModel!$G$35)</f>
        <v/>
      </c>
    </row>
    <row r="32" spans="1:86" x14ac:dyDescent="0.25">
      <c r="A32" s="107">
        <v>27</v>
      </c>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32">
        <f t="shared" si="4"/>
        <v>0</v>
      </c>
      <c r="BY32" s="170">
        <v>27</v>
      </c>
      <c r="BZ32" s="166" t="str">
        <f>IF(SUM(C32:J32)=0,"",SUMPRODUCT(C32:I32,TheModel!$G$27:$M$27)/SUM(C32:I32))</f>
        <v/>
      </c>
      <c r="CA32" s="166" t="str">
        <f>IF(SUM(K32:R32)=0,"",TheModel!$G$28)</f>
        <v/>
      </c>
      <c r="CB32" s="166" t="str">
        <f>IF(SUM(S32:Z32)=0,"",SUMPRODUCT(S32:Y32,TheModel!$G$29:$M$29)/SUM(S32:Y32))</f>
        <v/>
      </c>
      <c r="CC32" s="165" t="str">
        <f>IF(SUM(AA32:AH32)=0,"",TheModel!$G$30)</f>
        <v/>
      </c>
      <c r="CD32" s="165" t="str">
        <f>IF(SUM(AI32:AP32)=0,"",TheModel!$G$31)</f>
        <v/>
      </c>
      <c r="CE32" s="166" t="str">
        <f>IF(SUM(AQ32:AX32)=0,"",SUMPRODUCT(AQ32:AW32,TheModel!$G$32:$M$32)/SUM(AQ32:AW32))</f>
        <v/>
      </c>
      <c r="CF32" s="166" t="str">
        <f>IF(SUM(AY32:BF32)=0,"",SUMPRODUCT(AY32:BE32,TheModel!$G$33:$M$33)/SUM(AY32:BE32))</f>
        <v/>
      </c>
      <c r="CG32" s="165" t="str">
        <f>IF(SUM(BG32:BN32)=0,"",TheModel!$J$34)</f>
        <v/>
      </c>
      <c r="CH32" s="165" t="str">
        <f>IF(SUM(BO32:BV32)=0,"",TheModel!$G$35)</f>
        <v/>
      </c>
    </row>
    <row r="33" spans="1:86" x14ac:dyDescent="0.25">
      <c r="A33" s="107">
        <v>28</v>
      </c>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32">
        <f t="shared" si="4"/>
        <v>0</v>
      </c>
      <c r="BY33" s="170">
        <v>28</v>
      </c>
      <c r="BZ33" s="166" t="str">
        <f>IF(SUM(C33:J33)=0,"",SUMPRODUCT(C33:I33,TheModel!$G$27:$M$27)/SUM(C33:I33))</f>
        <v/>
      </c>
      <c r="CA33" s="166" t="str">
        <f>IF(SUM(K33:R33)=0,"",TheModel!$G$28)</f>
        <v/>
      </c>
      <c r="CB33" s="166" t="str">
        <f>IF(SUM(S33:Z33)=0,"",SUMPRODUCT(S33:Y33,TheModel!$G$29:$M$29)/SUM(S33:Y33))</f>
        <v/>
      </c>
      <c r="CC33" s="165" t="str">
        <f>IF(SUM(AA33:AH33)=0,"",TheModel!$G$30)</f>
        <v/>
      </c>
      <c r="CD33" s="165" t="str">
        <f>IF(SUM(AI33:AP33)=0,"",TheModel!$G$31)</f>
        <v/>
      </c>
      <c r="CE33" s="166" t="str">
        <f>IF(SUM(AQ33:AX33)=0,"",SUMPRODUCT(AQ33:AW33,TheModel!$G$32:$M$32)/SUM(AQ33:AW33))</f>
        <v/>
      </c>
      <c r="CF33" s="166" t="str">
        <f>IF(SUM(AY33:BF33)=0,"",SUMPRODUCT(AY33:BE33,TheModel!$G$33:$M$33)/SUM(AY33:BE33))</f>
        <v/>
      </c>
      <c r="CG33" s="165" t="str">
        <f>IF(SUM(BG33:BN33)=0,"",TheModel!$J$34)</f>
        <v/>
      </c>
      <c r="CH33" s="165" t="str">
        <f>IF(SUM(BO33:BV33)=0,"",TheModel!$G$35)</f>
        <v/>
      </c>
    </row>
    <row r="34" spans="1:86" x14ac:dyDescent="0.25">
      <c r="A34" s="107">
        <v>29</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32">
        <f t="shared" si="4"/>
        <v>0</v>
      </c>
      <c r="BY34" s="170">
        <v>29</v>
      </c>
      <c r="BZ34" s="166" t="str">
        <f>IF(SUM(C34:J34)=0,"",SUMPRODUCT(C34:I34,TheModel!$G$27:$M$27)/SUM(C34:I34))</f>
        <v/>
      </c>
      <c r="CA34" s="166" t="str">
        <f>IF(SUM(K34:R34)=0,"",TheModel!$G$28)</f>
        <v/>
      </c>
      <c r="CB34" s="166" t="str">
        <f>IF(SUM(S34:Z34)=0,"",SUMPRODUCT(S34:Y34,TheModel!$G$29:$M$29)/SUM(S34:Y34))</f>
        <v/>
      </c>
      <c r="CC34" s="165" t="str">
        <f>IF(SUM(AA34:AH34)=0,"",TheModel!$G$30)</f>
        <v/>
      </c>
      <c r="CD34" s="165" t="str">
        <f>IF(SUM(AI34:AP34)=0,"",TheModel!$G$31)</f>
        <v/>
      </c>
      <c r="CE34" s="166" t="str">
        <f>IF(SUM(AQ34:AX34)=0,"",SUMPRODUCT(AQ34:AW34,TheModel!$G$32:$M$32)/SUM(AQ34:AW34))</f>
        <v/>
      </c>
      <c r="CF34" s="166" t="str">
        <f>IF(SUM(AY34:BF34)=0,"",SUMPRODUCT(AY34:BE34,TheModel!$G$33:$M$33)/SUM(AY34:BE34))</f>
        <v/>
      </c>
      <c r="CG34" s="165" t="str">
        <f>IF(SUM(BG34:BN34)=0,"",TheModel!$J$34)</f>
        <v/>
      </c>
      <c r="CH34" s="165" t="str">
        <f>IF(SUM(BO34:BV34)=0,"",TheModel!$G$35)</f>
        <v/>
      </c>
    </row>
    <row r="35" spans="1:86" x14ac:dyDescent="0.25">
      <c r="A35" s="107">
        <v>30</v>
      </c>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32">
        <f t="shared" si="4"/>
        <v>0</v>
      </c>
      <c r="BY35" s="170">
        <v>30</v>
      </c>
      <c r="BZ35" s="166" t="str">
        <f>IF(SUM(C35:J35)=0,"",SUMPRODUCT(C35:I35,TheModel!$G$27:$M$27)/SUM(C35:I35))</f>
        <v/>
      </c>
      <c r="CA35" s="166" t="str">
        <f>IF(SUM(K35:R35)=0,"",TheModel!$G$28)</f>
        <v/>
      </c>
      <c r="CB35" s="166" t="str">
        <f>IF(SUM(S35:Z35)=0,"",SUMPRODUCT(S35:Y35,TheModel!$G$29:$M$29)/SUM(S35:Y35))</f>
        <v/>
      </c>
      <c r="CC35" s="165" t="str">
        <f>IF(SUM(AA35:AH35)=0,"",TheModel!$G$30)</f>
        <v/>
      </c>
      <c r="CD35" s="165" t="str">
        <f>IF(SUM(AI35:AP35)=0,"",TheModel!$G$31)</f>
        <v/>
      </c>
      <c r="CE35" s="166" t="str">
        <f>IF(SUM(AQ35:AX35)=0,"",SUMPRODUCT(AQ35:AW35,TheModel!$G$32:$M$32)/SUM(AQ35:AW35))</f>
        <v/>
      </c>
      <c r="CF35" s="166" t="str">
        <f>IF(SUM(AY35:BF35)=0,"",SUMPRODUCT(AY35:BE35,TheModel!$G$33:$M$33)/SUM(AY35:BE35))</f>
        <v/>
      </c>
      <c r="CG35" s="165" t="str">
        <f>IF(SUM(BG35:BN35)=0,"",TheModel!$J$34)</f>
        <v/>
      </c>
      <c r="CH35" s="165" t="str">
        <f>IF(SUM(BO35:BV35)=0,"",TheModel!$G$35)</f>
        <v/>
      </c>
    </row>
    <row r="36" spans="1:86" x14ac:dyDescent="0.25">
      <c r="A36" s="107">
        <v>31</v>
      </c>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32">
        <f t="shared" si="4"/>
        <v>0</v>
      </c>
      <c r="BY36" s="170">
        <v>31</v>
      </c>
      <c r="BZ36" s="166" t="str">
        <f>IF(SUM(C36:J36)=0,"",SUMPRODUCT(C36:I36,TheModel!$G$27:$M$27)/SUM(C36:I36))</f>
        <v/>
      </c>
      <c r="CA36" s="166" t="str">
        <f>IF(SUM(K36:R36)=0,"",TheModel!$G$28)</f>
        <v/>
      </c>
      <c r="CB36" s="166" t="str">
        <f>IF(SUM(S36:Z36)=0,"",SUMPRODUCT(S36:Y36,TheModel!$G$29:$M$29)/SUM(S36:Y36))</f>
        <v/>
      </c>
      <c r="CC36" s="165" t="str">
        <f>IF(SUM(AA36:AH36)=0,"",TheModel!$G$30)</f>
        <v/>
      </c>
      <c r="CD36" s="165" t="str">
        <f>IF(SUM(AI36:AP36)=0,"",TheModel!$G$31)</f>
        <v/>
      </c>
      <c r="CE36" s="166" t="str">
        <f>IF(SUM(AQ36:AX36)=0,"",SUMPRODUCT(AQ36:AW36,TheModel!$G$32:$M$32)/SUM(AQ36:AW36))</f>
        <v/>
      </c>
      <c r="CF36" s="166" t="str">
        <f>IF(SUM(AY36:BF36)=0,"",SUMPRODUCT(AY36:BE36,TheModel!$G$33:$M$33)/SUM(AY36:BE36))</f>
        <v/>
      </c>
      <c r="CG36" s="165" t="str">
        <f>IF(SUM(BG36:BN36)=0,"",TheModel!$J$34)</f>
        <v/>
      </c>
      <c r="CH36" s="165" t="str">
        <f>IF(SUM(BO36:BV36)=0,"",TheModel!$G$35)</f>
        <v/>
      </c>
    </row>
    <row r="37" spans="1:86" x14ac:dyDescent="0.25">
      <c r="A37" s="107">
        <v>32</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32">
        <f t="shared" si="4"/>
        <v>0</v>
      </c>
      <c r="BY37" s="170">
        <v>32</v>
      </c>
      <c r="BZ37" s="166" t="str">
        <f>IF(SUM(C37:J37)=0,"",SUMPRODUCT(C37:I37,TheModel!$G$27:$M$27)/SUM(C37:I37))</f>
        <v/>
      </c>
      <c r="CA37" s="166" t="str">
        <f>IF(SUM(K37:R37)=0,"",TheModel!$G$28)</f>
        <v/>
      </c>
      <c r="CB37" s="166" t="str">
        <f>IF(SUM(S37:Z37)=0,"",SUMPRODUCT(S37:Y37,TheModel!$G$29:$M$29)/SUM(S37:Y37))</f>
        <v/>
      </c>
      <c r="CC37" s="165" t="str">
        <f>IF(SUM(AA37:AH37)=0,"",TheModel!$G$30)</f>
        <v/>
      </c>
      <c r="CD37" s="165" t="str">
        <f>IF(SUM(AI37:AP37)=0,"",TheModel!$G$31)</f>
        <v/>
      </c>
      <c r="CE37" s="166" t="str">
        <f>IF(SUM(AQ37:AX37)=0,"",SUMPRODUCT(AQ37:AW37,TheModel!$G$32:$M$32)/SUM(AQ37:AW37))</f>
        <v/>
      </c>
      <c r="CF37" s="166" t="str">
        <f>IF(SUM(AY37:BF37)=0,"",SUMPRODUCT(AY37:BE37,TheModel!$G$33:$M$33)/SUM(AY37:BE37))</f>
        <v/>
      </c>
      <c r="CG37" s="165" t="str">
        <f>IF(SUM(BG37:BN37)=0,"",TheModel!$J$34)</f>
        <v/>
      </c>
      <c r="CH37" s="165" t="str">
        <f>IF(SUM(BO37:BV37)=0,"",TheModel!$G$35)</f>
        <v/>
      </c>
    </row>
    <row r="38" spans="1:86" x14ac:dyDescent="0.25">
      <c r="A38" s="107">
        <v>33</v>
      </c>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32">
        <f t="shared" si="4"/>
        <v>0</v>
      </c>
      <c r="BY38" s="170">
        <v>33</v>
      </c>
      <c r="BZ38" s="166" t="str">
        <f>IF(SUM(C38:J38)=0,"",SUMPRODUCT(C38:I38,TheModel!$G$27:$M$27)/SUM(C38:I38))</f>
        <v/>
      </c>
      <c r="CA38" s="166" t="str">
        <f>IF(SUM(K38:R38)=0,"",TheModel!$G$28)</f>
        <v/>
      </c>
      <c r="CB38" s="166" t="str">
        <f>IF(SUM(S38:Z38)=0,"",SUMPRODUCT(S38:Y38,TheModel!$G$29:$M$29)/SUM(S38:Y38))</f>
        <v/>
      </c>
      <c r="CC38" s="165" t="str">
        <f>IF(SUM(AA38:AH38)=0,"",TheModel!$G$30)</f>
        <v/>
      </c>
      <c r="CD38" s="165" t="str">
        <f>IF(SUM(AI38:AP38)=0,"",TheModel!$G$31)</f>
        <v/>
      </c>
      <c r="CE38" s="166" t="str">
        <f>IF(SUM(AQ38:AX38)=0,"",SUMPRODUCT(AQ38:AW38,TheModel!$G$32:$M$32)/SUM(AQ38:AW38))</f>
        <v/>
      </c>
      <c r="CF38" s="166" t="str">
        <f>IF(SUM(AY38:BF38)=0,"",SUMPRODUCT(AY38:BE38,TheModel!$G$33:$M$33)/SUM(AY38:BE38))</f>
        <v/>
      </c>
      <c r="CG38" s="165" t="str">
        <f>IF(SUM(BG38:BN38)=0,"",TheModel!$J$34)</f>
        <v/>
      </c>
      <c r="CH38" s="165" t="str">
        <f>IF(SUM(BO38:BV38)=0,"",TheModel!$G$35)</f>
        <v/>
      </c>
    </row>
    <row r="39" spans="1:86" x14ac:dyDescent="0.25">
      <c r="A39" s="107">
        <v>34</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32">
        <f t="shared" si="4"/>
        <v>0</v>
      </c>
      <c r="BY39" s="170">
        <v>34</v>
      </c>
      <c r="BZ39" s="166" t="str">
        <f>IF(SUM(C39:J39)=0,"",SUMPRODUCT(C39:I39,TheModel!$G$27:$M$27)/SUM(C39:I39))</f>
        <v/>
      </c>
      <c r="CA39" s="166" t="str">
        <f>IF(SUM(K39:R39)=0,"",TheModel!$G$28)</f>
        <v/>
      </c>
      <c r="CB39" s="166" t="str">
        <f>IF(SUM(S39:Z39)=0,"",SUMPRODUCT(S39:Y39,TheModel!$G$29:$M$29)/SUM(S39:Y39))</f>
        <v/>
      </c>
      <c r="CC39" s="165" t="str">
        <f>IF(SUM(AA39:AH39)=0,"",TheModel!$G$30)</f>
        <v/>
      </c>
      <c r="CD39" s="165" t="str">
        <f>IF(SUM(AI39:AP39)=0,"",TheModel!$G$31)</f>
        <v/>
      </c>
      <c r="CE39" s="166" t="str">
        <f>IF(SUM(AQ39:AX39)=0,"",SUMPRODUCT(AQ39:AW39,TheModel!$G$32:$M$32)/SUM(AQ39:AW39))</f>
        <v/>
      </c>
      <c r="CF39" s="166" t="str">
        <f>IF(SUM(AY39:BF39)=0,"",SUMPRODUCT(AY39:BE39,TheModel!$G$33:$M$33)/SUM(AY39:BE39))</f>
        <v/>
      </c>
      <c r="CG39" s="165" t="str">
        <f>IF(SUM(BG39:BN39)=0,"",TheModel!$J$34)</f>
        <v/>
      </c>
      <c r="CH39" s="165" t="str">
        <f>IF(SUM(BO39:BV39)=0,"",TheModel!$G$35)</f>
        <v/>
      </c>
    </row>
    <row r="40" spans="1:86" x14ac:dyDescent="0.25">
      <c r="A40" s="107">
        <v>35</v>
      </c>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32">
        <f t="shared" si="4"/>
        <v>0</v>
      </c>
      <c r="BY40" s="170">
        <v>35</v>
      </c>
      <c r="BZ40" s="166" t="str">
        <f>IF(SUM(C40:J40)=0,"",SUMPRODUCT(C40:I40,TheModel!$G$27:$M$27)/SUM(C40:I40))</f>
        <v/>
      </c>
      <c r="CA40" s="166" t="str">
        <f>IF(SUM(K40:R40)=0,"",TheModel!$G$28)</f>
        <v/>
      </c>
      <c r="CB40" s="166" t="str">
        <f>IF(SUM(S40:Z40)=0,"",SUMPRODUCT(S40:Y40,TheModel!$G$29:$M$29)/SUM(S40:Y40))</f>
        <v/>
      </c>
      <c r="CC40" s="165" t="str">
        <f>IF(SUM(AA40:AH40)=0,"",TheModel!$G$30)</f>
        <v/>
      </c>
      <c r="CD40" s="165" t="str">
        <f>IF(SUM(AI40:AP40)=0,"",TheModel!$G$31)</f>
        <v/>
      </c>
      <c r="CE40" s="166" t="str">
        <f>IF(SUM(AQ40:AX40)=0,"",SUMPRODUCT(AQ40:AW40,TheModel!$G$32:$M$32)/SUM(AQ40:AW40))</f>
        <v/>
      </c>
      <c r="CF40" s="166" t="str">
        <f>IF(SUM(AY40:BF40)=0,"",SUMPRODUCT(AY40:BE40,TheModel!$G$33:$M$33)/SUM(AY40:BE40))</f>
        <v/>
      </c>
      <c r="CG40" s="165" t="str">
        <f>IF(SUM(BG40:BN40)=0,"",TheModel!$J$34)</f>
        <v/>
      </c>
      <c r="CH40" s="165" t="str">
        <f>IF(SUM(BO40:BV40)=0,"",TheModel!$G$35)</f>
        <v/>
      </c>
    </row>
    <row r="41" spans="1:86" x14ac:dyDescent="0.25">
      <c r="A41" s="107">
        <v>36</v>
      </c>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32">
        <f t="shared" si="4"/>
        <v>0</v>
      </c>
      <c r="BY41" s="170">
        <v>36</v>
      </c>
      <c r="BZ41" s="166" t="str">
        <f>IF(SUM(C41:J41)=0,"",SUMPRODUCT(C41:I41,TheModel!$G$27:$M$27)/SUM(C41:I41))</f>
        <v/>
      </c>
      <c r="CA41" s="166" t="str">
        <f>IF(SUM(K41:R41)=0,"",TheModel!$G$28)</f>
        <v/>
      </c>
      <c r="CB41" s="166" t="str">
        <f>IF(SUM(S41:Z41)=0,"",SUMPRODUCT(S41:Y41,TheModel!$G$29:$M$29)/SUM(S41:Y41))</f>
        <v/>
      </c>
      <c r="CC41" s="165" t="str">
        <f>IF(SUM(AA41:AH41)=0,"",TheModel!$G$30)</f>
        <v/>
      </c>
      <c r="CD41" s="165" t="str">
        <f>IF(SUM(AI41:AP41)=0,"",TheModel!$G$31)</f>
        <v/>
      </c>
      <c r="CE41" s="166" t="str">
        <f>IF(SUM(AQ41:AX41)=0,"",SUMPRODUCT(AQ41:AW41,TheModel!$G$32:$M$32)/SUM(AQ41:AW41))</f>
        <v/>
      </c>
      <c r="CF41" s="166" t="str">
        <f>IF(SUM(AY41:BF41)=0,"",SUMPRODUCT(AY41:BE41,TheModel!$G$33:$M$33)/SUM(AY41:BE41))</f>
        <v/>
      </c>
      <c r="CG41" s="165" t="str">
        <f>IF(SUM(BG41:BN41)=0,"",TheModel!$J$34)</f>
        <v/>
      </c>
      <c r="CH41" s="165" t="str">
        <f>IF(SUM(BO41:BV41)=0,"",TheModel!$G$35)</f>
        <v/>
      </c>
    </row>
    <row r="42" spans="1:86" x14ac:dyDescent="0.25">
      <c r="A42" s="107">
        <v>37</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32">
        <f t="shared" si="4"/>
        <v>0</v>
      </c>
      <c r="BY42" s="170">
        <v>37</v>
      </c>
      <c r="BZ42" s="166" t="str">
        <f>IF(SUM(C42:J42)=0,"",SUMPRODUCT(C42:I42,TheModel!$G$27:$M$27)/SUM(C42:I42))</f>
        <v/>
      </c>
      <c r="CA42" s="166" t="str">
        <f>IF(SUM(K42:R42)=0,"",TheModel!$G$28)</f>
        <v/>
      </c>
      <c r="CB42" s="166" t="str">
        <f>IF(SUM(S42:Z42)=0,"",SUMPRODUCT(S42:Y42,TheModel!$G$29:$M$29)/SUM(S42:Y42))</f>
        <v/>
      </c>
      <c r="CC42" s="165" t="str">
        <f>IF(SUM(AA42:AH42)=0,"",TheModel!$G$30)</f>
        <v/>
      </c>
      <c r="CD42" s="165" t="str">
        <f>IF(SUM(AI42:AP42)=0,"",TheModel!$G$31)</f>
        <v/>
      </c>
      <c r="CE42" s="166" t="str">
        <f>IF(SUM(AQ42:AX42)=0,"",SUMPRODUCT(AQ42:AW42,TheModel!$G$32:$M$32)/SUM(AQ42:AW42))</f>
        <v/>
      </c>
      <c r="CF42" s="166" t="str">
        <f>IF(SUM(AY42:BF42)=0,"",SUMPRODUCT(AY42:BE42,TheModel!$G$33:$M$33)/SUM(AY42:BE42))</f>
        <v/>
      </c>
      <c r="CG42" s="165" t="str">
        <f>IF(SUM(BG42:BN42)=0,"",TheModel!$J$34)</f>
        <v/>
      </c>
      <c r="CH42" s="165" t="str">
        <f>IF(SUM(BO42:BV42)=0,"",TheModel!$G$35)</f>
        <v/>
      </c>
    </row>
    <row r="43" spans="1:86" x14ac:dyDescent="0.25">
      <c r="A43" s="107">
        <v>38</v>
      </c>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32">
        <f t="shared" si="4"/>
        <v>0</v>
      </c>
      <c r="BY43" s="170">
        <v>38</v>
      </c>
      <c r="BZ43" s="166" t="str">
        <f>IF(SUM(C43:J43)=0,"",SUMPRODUCT(C43:I43,TheModel!$G$27:$M$27)/SUM(C43:I43))</f>
        <v/>
      </c>
      <c r="CA43" s="166" t="str">
        <f>IF(SUM(K43:R43)=0,"",TheModel!$G$28)</f>
        <v/>
      </c>
      <c r="CB43" s="166" t="str">
        <f>IF(SUM(S43:Z43)=0,"",SUMPRODUCT(S43:Y43,TheModel!$G$29:$M$29)/SUM(S43:Y43))</f>
        <v/>
      </c>
      <c r="CC43" s="165" t="str">
        <f>IF(SUM(AA43:AH43)=0,"",TheModel!$G$30)</f>
        <v/>
      </c>
      <c r="CD43" s="165" t="str">
        <f>IF(SUM(AI43:AP43)=0,"",TheModel!$G$31)</f>
        <v/>
      </c>
      <c r="CE43" s="166" t="str">
        <f>IF(SUM(AQ43:AX43)=0,"",SUMPRODUCT(AQ43:AW43,TheModel!$G$32:$M$32)/SUM(AQ43:AW43))</f>
        <v/>
      </c>
      <c r="CF43" s="166" t="str">
        <f>IF(SUM(AY43:BF43)=0,"",SUMPRODUCT(AY43:BE43,TheModel!$G$33:$M$33)/SUM(AY43:BE43))</f>
        <v/>
      </c>
      <c r="CG43" s="165" t="str">
        <f>IF(SUM(BG43:BN43)=0,"",TheModel!$J$34)</f>
        <v/>
      </c>
      <c r="CH43" s="165" t="str">
        <f>IF(SUM(BO43:BV43)=0,"",TheModel!$G$35)</f>
        <v/>
      </c>
    </row>
    <row r="44" spans="1:86" x14ac:dyDescent="0.25">
      <c r="A44" s="107">
        <v>39</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32">
        <f t="shared" si="4"/>
        <v>0</v>
      </c>
      <c r="BY44" s="170">
        <v>39</v>
      </c>
      <c r="BZ44" s="166" t="str">
        <f>IF(SUM(C44:J44)=0,"",SUMPRODUCT(C44:I44,TheModel!$G$27:$M$27)/SUM(C44:I44))</f>
        <v/>
      </c>
      <c r="CA44" s="166" t="str">
        <f>IF(SUM(K44:R44)=0,"",TheModel!$G$28)</f>
        <v/>
      </c>
      <c r="CB44" s="166" t="str">
        <f>IF(SUM(S44:Z44)=0,"",SUMPRODUCT(S44:Y44,TheModel!$G$29:$M$29)/SUM(S44:Y44))</f>
        <v/>
      </c>
      <c r="CC44" s="165" t="str">
        <f>IF(SUM(AA44:AH44)=0,"",TheModel!$G$30)</f>
        <v/>
      </c>
      <c r="CD44" s="165" t="str">
        <f>IF(SUM(AI44:AP44)=0,"",TheModel!$G$31)</f>
        <v/>
      </c>
      <c r="CE44" s="166" t="str">
        <f>IF(SUM(AQ44:AX44)=0,"",SUMPRODUCT(AQ44:AW44,TheModel!$G$32:$M$32)/SUM(AQ44:AW44))</f>
        <v/>
      </c>
      <c r="CF44" s="166" t="str">
        <f>IF(SUM(AY44:BF44)=0,"",SUMPRODUCT(AY44:BE44,TheModel!$G$33:$M$33)/SUM(AY44:BE44))</f>
        <v/>
      </c>
      <c r="CG44" s="165" t="str">
        <f>IF(SUM(BG44:BN44)=0,"",TheModel!$J$34)</f>
        <v/>
      </c>
      <c r="CH44" s="165" t="str">
        <f>IF(SUM(BO44:BV44)=0,"",TheModel!$G$35)</f>
        <v/>
      </c>
    </row>
    <row r="45" spans="1:86" x14ac:dyDescent="0.25">
      <c r="A45" s="107">
        <v>40</v>
      </c>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32">
        <f t="shared" si="4"/>
        <v>0</v>
      </c>
      <c r="BY45" s="170">
        <v>40</v>
      </c>
      <c r="BZ45" s="166" t="str">
        <f>IF(SUM(C45:J45)=0,"",SUMPRODUCT(C45:I45,TheModel!$G$27:$M$27)/SUM(C45:I45))</f>
        <v/>
      </c>
      <c r="CA45" s="166" t="str">
        <f>IF(SUM(K45:R45)=0,"",TheModel!$G$28)</f>
        <v/>
      </c>
      <c r="CB45" s="166" t="str">
        <f>IF(SUM(S45:Z45)=0,"",SUMPRODUCT(S45:Y45,TheModel!$G$29:$M$29)/SUM(S45:Y45))</f>
        <v/>
      </c>
      <c r="CC45" s="165" t="str">
        <f>IF(SUM(AA45:AH45)=0,"",TheModel!$G$30)</f>
        <v/>
      </c>
      <c r="CD45" s="165" t="str">
        <f>IF(SUM(AI45:AP45)=0,"",TheModel!$G$31)</f>
        <v/>
      </c>
      <c r="CE45" s="166" t="str">
        <f>IF(SUM(AQ45:AX45)=0,"",SUMPRODUCT(AQ45:AW45,TheModel!$G$32:$M$32)/SUM(AQ45:AW45))</f>
        <v/>
      </c>
      <c r="CF45" s="166" t="str">
        <f>IF(SUM(AY45:BF45)=0,"",SUMPRODUCT(AY45:BE45,TheModel!$G$33:$M$33)/SUM(AY45:BE45))</f>
        <v/>
      </c>
      <c r="CG45" s="165" t="str">
        <f>IF(SUM(BG45:BN45)=0,"",TheModel!$J$34)</f>
        <v/>
      </c>
      <c r="CH45" s="165" t="str">
        <f>IF(SUM(BO45:BV45)=0,"",TheModel!$G$35)</f>
        <v/>
      </c>
    </row>
    <row r="46" spans="1:86" x14ac:dyDescent="0.25">
      <c r="A46" s="107">
        <v>41</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32">
        <f t="shared" si="4"/>
        <v>0</v>
      </c>
      <c r="BY46" s="170">
        <v>41</v>
      </c>
      <c r="BZ46" s="166" t="str">
        <f>IF(SUM(C46:J46)=0,"",SUMPRODUCT(C46:I46,TheModel!$G$27:$M$27)/SUM(C46:I46))</f>
        <v/>
      </c>
      <c r="CA46" s="166" t="str">
        <f>IF(SUM(K46:R46)=0,"",TheModel!$G$28)</f>
        <v/>
      </c>
      <c r="CB46" s="166" t="str">
        <f>IF(SUM(S46:Z46)=0,"",SUMPRODUCT(S46:Y46,TheModel!$G$29:$M$29)/SUM(S46:Y46))</f>
        <v/>
      </c>
      <c r="CC46" s="165" t="str">
        <f>IF(SUM(AA46:AH46)=0,"",TheModel!$G$30)</f>
        <v/>
      </c>
      <c r="CD46" s="165" t="str">
        <f>IF(SUM(AI46:AP46)=0,"",TheModel!$G$31)</f>
        <v/>
      </c>
      <c r="CE46" s="166" t="str">
        <f>IF(SUM(AQ46:AX46)=0,"",SUMPRODUCT(AQ46:AW46,TheModel!$G$32:$M$32)/SUM(AQ46:AW46))</f>
        <v/>
      </c>
      <c r="CF46" s="166" t="str">
        <f>IF(SUM(AY46:BF46)=0,"",SUMPRODUCT(AY46:BE46,TheModel!$G$33:$M$33)/SUM(AY46:BE46))</f>
        <v/>
      </c>
      <c r="CG46" s="165" t="str">
        <f>IF(SUM(BG46:BN46)=0,"",TheModel!$J$34)</f>
        <v/>
      </c>
      <c r="CH46" s="165" t="str">
        <f>IF(SUM(BO46:BV46)=0,"",TheModel!$G$35)</f>
        <v/>
      </c>
    </row>
    <row r="47" spans="1:86" x14ac:dyDescent="0.25">
      <c r="A47" s="107">
        <v>42</v>
      </c>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32">
        <f t="shared" si="4"/>
        <v>0</v>
      </c>
      <c r="BY47" s="170">
        <v>42</v>
      </c>
      <c r="BZ47" s="166" t="str">
        <f>IF(SUM(C47:J47)=0,"",SUMPRODUCT(C47:I47,TheModel!$G$27:$M$27)/SUM(C47:I47))</f>
        <v/>
      </c>
      <c r="CA47" s="166" t="str">
        <f>IF(SUM(K47:R47)=0,"",TheModel!$G$28)</f>
        <v/>
      </c>
      <c r="CB47" s="166" t="str">
        <f>IF(SUM(S47:Z47)=0,"",SUMPRODUCT(S47:Y47,TheModel!$G$29:$M$29)/SUM(S47:Y47))</f>
        <v/>
      </c>
      <c r="CC47" s="165" t="str">
        <f>IF(SUM(AA47:AH47)=0,"",TheModel!$G$30)</f>
        <v/>
      </c>
      <c r="CD47" s="165" t="str">
        <f>IF(SUM(AI47:AP47)=0,"",TheModel!$G$31)</f>
        <v/>
      </c>
      <c r="CE47" s="166" t="str">
        <f>IF(SUM(AQ47:AX47)=0,"",SUMPRODUCT(AQ47:AW47,TheModel!$G$32:$M$32)/SUM(AQ47:AW47))</f>
        <v/>
      </c>
      <c r="CF47" s="166" t="str">
        <f>IF(SUM(AY47:BF47)=0,"",SUMPRODUCT(AY47:BE47,TheModel!$G$33:$M$33)/SUM(AY47:BE47))</f>
        <v/>
      </c>
      <c r="CG47" s="165" t="str">
        <f>IF(SUM(BG47:BN47)=0,"",TheModel!$J$34)</f>
        <v/>
      </c>
      <c r="CH47" s="165" t="str">
        <f>IF(SUM(BO47:BV47)=0,"",TheModel!$G$35)</f>
        <v/>
      </c>
    </row>
    <row r="48" spans="1:86" x14ac:dyDescent="0.25">
      <c r="A48" s="107">
        <v>43</v>
      </c>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32">
        <f t="shared" si="4"/>
        <v>0</v>
      </c>
      <c r="BY48" s="170">
        <v>43</v>
      </c>
      <c r="BZ48" s="166" t="str">
        <f>IF(SUM(C48:J48)=0,"",SUMPRODUCT(C48:I48,TheModel!$G$27:$M$27)/SUM(C48:I48))</f>
        <v/>
      </c>
      <c r="CA48" s="166" t="str">
        <f>IF(SUM(K48:R48)=0,"",TheModel!$G$28)</f>
        <v/>
      </c>
      <c r="CB48" s="166" t="str">
        <f>IF(SUM(S48:Z48)=0,"",SUMPRODUCT(S48:Y48,TheModel!$G$29:$M$29)/SUM(S48:Y48))</f>
        <v/>
      </c>
      <c r="CC48" s="165" t="str">
        <f>IF(SUM(AA48:AH48)=0,"",TheModel!$G$30)</f>
        <v/>
      </c>
      <c r="CD48" s="165" t="str">
        <f>IF(SUM(AI48:AP48)=0,"",TheModel!$G$31)</f>
        <v/>
      </c>
      <c r="CE48" s="166" t="str">
        <f>IF(SUM(AQ48:AX48)=0,"",SUMPRODUCT(AQ48:AW48,TheModel!$G$32:$M$32)/SUM(AQ48:AW48))</f>
        <v/>
      </c>
      <c r="CF48" s="166" t="str">
        <f>IF(SUM(AY48:BF48)=0,"",SUMPRODUCT(AY48:BE48,TheModel!$G$33:$M$33)/SUM(AY48:BE48))</f>
        <v/>
      </c>
      <c r="CG48" s="165" t="str">
        <f>IF(SUM(BG48:BN48)=0,"",TheModel!$J$34)</f>
        <v/>
      </c>
      <c r="CH48" s="165" t="str">
        <f>IF(SUM(BO48:BV48)=0,"",TheModel!$G$35)</f>
        <v/>
      </c>
    </row>
    <row r="49" spans="1:86" x14ac:dyDescent="0.25">
      <c r="A49" s="107">
        <v>44</v>
      </c>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32">
        <f t="shared" si="4"/>
        <v>0</v>
      </c>
      <c r="BY49" s="170">
        <v>44</v>
      </c>
      <c r="BZ49" s="166" t="str">
        <f>IF(SUM(C49:J49)=0,"",SUMPRODUCT(C49:I49,TheModel!$G$27:$M$27)/SUM(C49:I49))</f>
        <v/>
      </c>
      <c r="CA49" s="166" t="str">
        <f>IF(SUM(K49:R49)=0,"",TheModel!$G$28)</f>
        <v/>
      </c>
      <c r="CB49" s="166" t="str">
        <f>IF(SUM(S49:Z49)=0,"",SUMPRODUCT(S49:Y49,TheModel!$G$29:$M$29)/SUM(S49:Y49))</f>
        <v/>
      </c>
      <c r="CC49" s="165" t="str">
        <f>IF(SUM(AA49:AH49)=0,"",TheModel!$G$30)</f>
        <v/>
      </c>
      <c r="CD49" s="165" t="str">
        <f>IF(SUM(AI49:AP49)=0,"",TheModel!$G$31)</f>
        <v/>
      </c>
      <c r="CE49" s="166" t="str">
        <f>IF(SUM(AQ49:AX49)=0,"",SUMPRODUCT(AQ49:AW49,TheModel!$G$32:$M$32)/SUM(AQ49:AW49))</f>
        <v/>
      </c>
      <c r="CF49" s="166" t="str">
        <f>IF(SUM(AY49:BF49)=0,"",SUMPRODUCT(AY49:BE49,TheModel!$G$33:$M$33)/SUM(AY49:BE49))</f>
        <v/>
      </c>
      <c r="CG49" s="165" t="str">
        <f>IF(SUM(BG49:BN49)=0,"",TheModel!$J$34)</f>
        <v/>
      </c>
      <c r="CH49" s="165" t="str">
        <f>IF(SUM(BO49:BV49)=0,"",TheModel!$G$35)</f>
        <v/>
      </c>
    </row>
    <row r="50" spans="1:86" x14ac:dyDescent="0.25">
      <c r="A50" s="107">
        <v>45</v>
      </c>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32">
        <f t="shared" si="4"/>
        <v>0</v>
      </c>
      <c r="BY50" s="170">
        <v>45</v>
      </c>
      <c r="BZ50" s="166" t="str">
        <f>IF(SUM(C50:J50)=0,"",SUMPRODUCT(C50:I50,TheModel!$G$27:$M$27)/SUM(C50:I50))</f>
        <v/>
      </c>
      <c r="CA50" s="166" t="str">
        <f>IF(SUM(K50:R50)=0,"",TheModel!$G$28)</f>
        <v/>
      </c>
      <c r="CB50" s="166" t="str">
        <f>IF(SUM(S50:Z50)=0,"",SUMPRODUCT(S50:Y50,TheModel!$G$29:$M$29)/SUM(S50:Y50))</f>
        <v/>
      </c>
      <c r="CC50" s="165" t="str">
        <f>IF(SUM(AA50:AH50)=0,"",TheModel!$G$30)</f>
        <v/>
      </c>
      <c r="CD50" s="165" t="str">
        <f>IF(SUM(AI50:AP50)=0,"",TheModel!$G$31)</f>
        <v/>
      </c>
      <c r="CE50" s="166" t="str">
        <f>IF(SUM(AQ50:AX50)=0,"",SUMPRODUCT(AQ50:AW50,TheModel!$G$32:$M$32)/SUM(AQ50:AW50))</f>
        <v/>
      </c>
      <c r="CF50" s="166" t="str">
        <f>IF(SUM(AY50:BF50)=0,"",SUMPRODUCT(AY50:BE50,TheModel!$G$33:$M$33)/SUM(AY50:BE50))</f>
        <v/>
      </c>
      <c r="CG50" s="165" t="str">
        <f>IF(SUM(BG50:BN50)=0,"",TheModel!$J$34)</f>
        <v/>
      </c>
      <c r="CH50" s="165" t="str">
        <f>IF(SUM(BO50:BV50)=0,"",TheModel!$G$35)</f>
        <v/>
      </c>
    </row>
    <row r="51" spans="1:86" x14ac:dyDescent="0.25">
      <c r="A51" s="107">
        <v>46</v>
      </c>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32">
        <f t="shared" si="4"/>
        <v>0</v>
      </c>
      <c r="BY51" s="170">
        <v>46</v>
      </c>
      <c r="BZ51" s="166" t="str">
        <f>IF(SUM(C51:J51)=0,"",SUMPRODUCT(C51:I51,TheModel!$G$27:$M$27)/SUM(C51:I51))</f>
        <v/>
      </c>
      <c r="CA51" s="166" t="str">
        <f>IF(SUM(K51:R51)=0,"",TheModel!$G$28)</f>
        <v/>
      </c>
      <c r="CB51" s="166" t="str">
        <f>IF(SUM(S51:Z51)=0,"",SUMPRODUCT(S51:Y51,TheModel!$G$29:$M$29)/SUM(S51:Y51))</f>
        <v/>
      </c>
      <c r="CC51" s="165" t="str">
        <f>IF(SUM(AA51:AH51)=0,"",TheModel!$G$30)</f>
        <v/>
      </c>
      <c r="CD51" s="165" t="str">
        <f>IF(SUM(AI51:AP51)=0,"",TheModel!$G$31)</f>
        <v/>
      </c>
      <c r="CE51" s="166" t="str">
        <f>IF(SUM(AQ51:AX51)=0,"",SUMPRODUCT(AQ51:AW51,TheModel!$G$32:$M$32)/SUM(AQ51:AW51))</f>
        <v/>
      </c>
      <c r="CF51" s="166" t="str">
        <f>IF(SUM(AY51:BF51)=0,"",SUMPRODUCT(AY51:BE51,TheModel!$G$33:$M$33)/SUM(AY51:BE51))</f>
        <v/>
      </c>
      <c r="CG51" s="165" t="str">
        <f>IF(SUM(BG51:BN51)=0,"",TheModel!$J$34)</f>
        <v/>
      </c>
      <c r="CH51" s="165" t="str">
        <f>IF(SUM(BO51:BV51)=0,"",TheModel!$G$35)</f>
        <v/>
      </c>
    </row>
    <row r="52" spans="1:86" x14ac:dyDescent="0.25">
      <c r="A52" s="107">
        <v>47</v>
      </c>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32">
        <f t="shared" si="4"/>
        <v>0</v>
      </c>
      <c r="BY52" s="170">
        <v>47</v>
      </c>
      <c r="BZ52" s="166" t="str">
        <f>IF(SUM(C52:J52)=0,"",SUMPRODUCT(C52:I52,TheModel!$G$27:$M$27)/SUM(C52:I52))</f>
        <v/>
      </c>
      <c r="CA52" s="166" t="str">
        <f>IF(SUM(K52:R52)=0,"",TheModel!$G$28)</f>
        <v/>
      </c>
      <c r="CB52" s="166" t="str">
        <f>IF(SUM(S52:Z52)=0,"",SUMPRODUCT(S52:Y52,TheModel!$G$29:$M$29)/SUM(S52:Y52))</f>
        <v/>
      </c>
      <c r="CC52" s="165" t="str">
        <f>IF(SUM(AA52:AH52)=0,"",TheModel!$G$30)</f>
        <v/>
      </c>
      <c r="CD52" s="165" t="str">
        <f>IF(SUM(AI52:AP52)=0,"",TheModel!$G$31)</f>
        <v/>
      </c>
      <c r="CE52" s="166" t="str">
        <f>IF(SUM(AQ52:AX52)=0,"",SUMPRODUCT(AQ52:AW52,TheModel!$G$32:$M$32)/SUM(AQ52:AW52))</f>
        <v/>
      </c>
      <c r="CF52" s="166" t="str">
        <f>IF(SUM(AY52:BF52)=0,"",SUMPRODUCT(AY52:BE52,TheModel!$G$33:$M$33)/SUM(AY52:BE52))</f>
        <v/>
      </c>
      <c r="CG52" s="165" t="str">
        <f>IF(SUM(BG52:BN52)=0,"",TheModel!$J$34)</f>
        <v/>
      </c>
      <c r="CH52" s="165" t="str">
        <f>IF(SUM(BO52:BV52)=0,"",TheModel!$G$35)</f>
        <v/>
      </c>
    </row>
    <row r="53" spans="1:86" x14ac:dyDescent="0.25">
      <c r="A53" s="107">
        <v>48</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32">
        <f t="shared" si="4"/>
        <v>0</v>
      </c>
      <c r="BY53" s="170">
        <v>48</v>
      </c>
      <c r="BZ53" s="166" t="str">
        <f>IF(SUM(C53:J53)=0,"",SUMPRODUCT(C53:I53,TheModel!$G$27:$M$27)/SUM(C53:I53))</f>
        <v/>
      </c>
      <c r="CA53" s="166" t="str">
        <f>IF(SUM(K53:R53)=0,"",TheModel!$G$28)</f>
        <v/>
      </c>
      <c r="CB53" s="166" t="str">
        <f>IF(SUM(S53:Z53)=0,"",SUMPRODUCT(S53:Y53,TheModel!$G$29:$M$29)/SUM(S53:Y53))</f>
        <v/>
      </c>
      <c r="CC53" s="165" t="str">
        <f>IF(SUM(AA53:AH53)=0,"",TheModel!$G$30)</f>
        <v/>
      </c>
      <c r="CD53" s="165" t="str">
        <f>IF(SUM(AI53:AP53)=0,"",TheModel!$G$31)</f>
        <v/>
      </c>
      <c r="CE53" s="166" t="str">
        <f>IF(SUM(AQ53:AX53)=0,"",SUMPRODUCT(AQ53:AW53,TheModel!$G$32:$M$32)/SUM(AQ53:AW53))</f>
        <v/>
      </c>
      <c r="CF53" s="166" t="str">
        <f>IF(SUM(AY53:BF53)=0,"",SUMPRODUCT(AY53:BE53,TheModel!$G$33:$M$33)/SUM(AY53:BE53))</f>
        <v/>
      </c>
      <c r="CG53" s="165" t="str">
        <f>IF(SUM(BG53:BN53)=0,"",TheModel!$J$34)</f>
        <v/>
      </c>
      <c r="CH53" s="165" t="str">
        <f>IF(SUM(BO53:BV53)=0,"",TheModel!$G$35)</f>
        <v/>
      </c>
    </row>
    <row r="54" spans="1:86" x14ac:dyDescent="0.25">
      <c r="A54" s="107">
        <v>49</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32">
        <f t="shared" si="4"/>
        <v>0</v>
      </c>
      <c r="BY54" s="170">
        <v>49</v>
      </c>
      <c r="BZ54" s="166" t="str">
        <f>IF(SUM(C54:J54)=0,"",SUMPRODUCT(C54:I54,TheModel!$G$27:$M$27)/SUM(C54:I54))</f>
        <v/>
      </c>
      <c r="CA54" s="166" t="str">
        <f>IF(SUM(K54:R54)=0,"",TheModel!$G$28)</f>
        <v/>
      </c>
      <c r="CB54" s="166" t="str">
        <f>IF(SUM(S54:Z54)=0,"",SUMPRODUCT(S54:Y54,TheModel!$G$29:$M$29)/SUM(S54:Y54))</f>
        <v/>
      </c>
      <c r="CC54" s="165" t="str">
        <f>IF(SUM(AA54:AH54)=0,"",TheModel!$G$30)</f>
        <v/>
      </c>
      <c r="CD54" s="165" t="str">
        <f>IF(SUM(AI54:AP54)=0,"",TheModel!$G$31)</f>
        <v/>
      </c>
      <c r="CE54" s="166" t="str">
        <f>IF(SUM(AQ54:AX54)=0,"",SUMPRODUCT(AQ54:AW54,TheModel!$G$32:$M$32)/SUM(AQ54:AW54))</f>
        <v/>
      </c>
      <c r="CF54" s="166" t="str">
        <f>IF(SUM(AY54:BF54)=0,"",SUMPRODUCT(AY54:BE54,TheModel!$G$33:$M$33)/SUM(AY54:BE54))</f>
        <v/>
      </c>
      <c r="CG54" s="165" t="str">
        <f>IF(SUM(BG54:BN54)=0,"",TheModel!$J$34)</f>
        <v/>
      </c>
      <c r="CH54" s="165" t="str">
        <f>IF(SUM(BO54:BV54)=0,"",TheModel!$G$35)</f>
        <v/>
      </c>
    </row>
    <row r="55" spans="1:86" x14ac:dyDescent="0.25">
      <c r="A55" s="107">
        <v>50</v>
      </c>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32">
        <f t="shared" si="4"/>
        <v>0</v>
      </c>
      <c r="BY55" s="170">
        <v>50</v>
      </c>
      <c r="BZ55" s="166" t="str">
        <f>IF(SUM(C55:J55)=0,"",SUMPRODUCT(C55:I55,TheModel!$G$27:$M$27)/SUM(C55:I55))</f>
        <v/>
      </c>
      <c r="CA55" s="166" t="str">
        <f>IF(SUM(K55:R55)=0,"",TheModel!$G$28)</f>
        <v/>
      </c>
      <c r="CB55" s="166" t="str">
        <f>IF(SUM(S55:Z55)=0,"",SUMPRODUCT(S55:Y55,TheModel!$G$29:$M$29)/SUM(S55:Y55))</f>
        <v/>
      </c>
      <c r="CC55" s="165" t="str">
        <f>IF(SUM(AA55:AH55)=0,"",TheModel!$G$30)</f>
        <v/>
      </c>
      <c r="CD55" s="165" t="str">
        <f>IF(SUM(AI55:AP55)=0,"",TheModel!$G$31)</f>
        <v/>
      </c>
      <c r="CE55" s="166" t="str">
        <f>IF(SUM(AQ55:AX55)=0,"",SUMPRODUCT(AQ55:AW55,TheModel!$G$32:$M$32)/SUM(AQ55:AW55))</f>
        <v/>
      </c>
      <c r="CF55" s="166" t="str">
        <f>IF(SUM(AY55:BF55)=0,"",SUMPRODUCT(AY55:BE55,TheModel!$G$33:$M$33)/SUM(AY55:BE55))</f>
        <v/>
      </c>
      <c r="CG55" s="165" t="str">
        <f>IF(SUM(BG55:BN55)=0,"",TheModel!$J$34)</f>
        <v/>
      </c>
      <c r="CH55" s="165" t="str">
        <f>IF(SUM(BO55:BV55)=0,"",TheModel!$G$35)</f>
        <v/>
      </c>
    </row>
    <row r="56" spans="1:86" x14ac:dyDescent="0.25">
      <c r="A56" s="107">
        <v>51</v>
      </c>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32">
        <f t="shared" si="4"/>
        <v>0</v>
      </c>
      <c r="BY56" s="170">
        <v>51</v>
      </c>
      <c r="BZ56" s="166" t="str">
        <f>IF(SUM(C56:J56)=0,"",SUMPRODUCT(C56:I56,TheModel!$G$27:$M$27)/SUM(C56:I56))</f>
        <v/>
      </c>
      <c r="CA56" s="166" t="str">
        <f>IF(SUM(K56:R56)=0,"",TheModel!$G$28)</f>
        <v/>
      </c>
      <c r="CB56" s="166" t="str">
        <f>IF(SUM(S56:Z56)=0,"",SUMPRODUCT(S56:Y56,TheModel!$G$29:$M$29)/SUM(S56:Y56))</f>
        <v/>
      </c>
      <c r="CC56" s="165" t="str">
        <f>IF(SUM(AA56:AH56)=0,"",TheModel!$G$30)</f>
        <v/>
      </c>
      <c r="CD56" s="165" t="str">
        <f>IF(SUM(AI56:AP56)=0,"",TheModel!$G$31)</f>
        <v/>
      </c>
      <c r="CE56" s="166" t="str">
        <f>IF(SUM(AQ56:AX56)=0,"",SUMPRODUCT(AQ56:AW56,TheModel!$G$32:$M$32)/SUM(AQ56:AW56))</f>
        <v/>
      </c>
      <c r="CF56" s="166" t="str">
        <f>IF(SUM(AY56:BF56)=0,"",SUMPRODUCT(AY56:BE56,TheModel!$G$33:$M$33)/SUM(AY56:BE56))</f>
        <v/>
      </c>
      <c r="CG56" s="165" t="str">
        <f>IF(SUM(BG56:BN56)=0,"",TheModel!$J$34)</f>
        <v/>
      </c>
      <c r="CH56" s="165" t="str">
        <f>IF(SUM(BO56:BV56)=0,"",TheModel!$G$35)</f>
        <v/>
      </c>
    </row>
    <row r="57" spans="1:86" x14ac:dyDescent="0.25">
      <c r="A57" s="107">
        <v>52</v>
      </c>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32">
        <f t="shared" si="4"/>
        <v>0</v>
      </c>
      <c r="BY57" s="170">
        <v>52</v>
      </c>
      <c r="BZ57" s="166" t="str">
        <f>IF(SUM(C57:J57)=0,"",SUMPRODUCT(C57:I57,TheModel!$G$27:$M$27)/SUM(C57:I57))</f>
        <v/>
      </c>
      <c r="CA57" s="166" t="str">
        <f>IF(SUM(K57:R57)=0,"",TheModel!$G$28)</f>
        <v/>
      </c>
      <c r="CB57" s="166" t="str">
        <f>IF(SUM(S57:Z57)=0,"",SUMPRODUCT(S57:Y57,TheModel!$G$29:$M$29)/SUM(S57:Y57))</f>
        <v/>
      </c>
      <c r="CC57" s="165" t="str">
        <f>IF(SUM(AA57:AH57)=0,"",TheModel!$G$30)</f>
        <v/>
      </c>
      <c r="CD57" s="165" t="str">
        <f>IF(SUM(AI57:AP57)=0,"",TheModel!$G$31)</f>
        <v/>
      </c>
      <c r="CE57" s="166" t="str">
        <f>IF(SUM(AQ57:AX57)=0,"",SUMPRODUCT(AQ57:AW57,TheModel!$G$32:$M$32)/SUM(AQ57:AW57))</f>
        <v/>
      </c>
      <c r="CF57" s="166" t="str">
        <f>IF(SUM(AY57:BF57)=0,"",SUMPRODUCT(AY57:BE57,TheModel!$G$33:$M$33)/SUM(AY57:BE57))</f>
        <v/>
      </c>
      <c r="CG57" s="165" t="str">
        <f>IF(SUM(BG57:BN57)=0,"",TheModel!$J$34)</f>
        <v/>
      </c>
      <c r="CH57" s="165" t="str">
        <f>IF(SUM(BO57:BV57)=0,"",TheModel!$G$35)</f>
        <v/>
      </c>
    </row>
    <row r="58" spans="1:86" x14ac:dyDescent="0.25">
      <c r="A58" s="107">
        <v>53</v>
      </c>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32">
        <f t="shared" si="4"/>
        <v>0</v>
      </c>
      <c r="BY58" s="170">
        <v>53</v>
      </c>
      <c r="BZ58" s="166" t="str">
        <f>IF(SUM(C58:J58)=0,"",SUMPRODUCT(C58:I58,TheModel!$G$27:$M$27)/SUM(C58:I58))</f>
        <v/>
      </c>
      <c r="CA58" s="166" t="str">
        <f>IF(SUM(K58:R58)=0,"",TheModel!$G$28)</f>
        <v/>
      </c>
      <c r="CB58" s="166" t="str">
        <f>IF(SUM(S58:Z58)=0,"",SUMPRODUCT(S58:Y58,TheModel!$G$29:$M$29)/SUM(S58:Y58))</f>
        <v/>
      </c>
      <c r="CC58" s="165" t="str">
        <f>IF(SUM(AA58:AH58)=0,"",TheModel!$G$30)</f>
        <v/>
      </c>
      <c r="CD58" s="165" t="str">
        <f>IF(SUM(AI58:AP58)=0,"",TheModel!$G$31)</f>
        <v/>
      </c>
      <c r="CE58" s="166" t="str">
        <f>IF(SUM(AQ58:AX58)=0,"",SUMPRODUCT(AQ58:AW58,TheModel!$G$32:$M$32)/SUM(AQ58:AW58))</f>
        <v/>
      </c>
      <c r="CF58" s="166" t="str">
        <f>IF(SUM(AY58:BF58)=0,"",SUMPRODUCT(AY58:BE58,TheModel!$G$33:$M$33)/SUM(AY58:BE58))</f>
        <v/>
      </c>
      <c r="CG58" s="165" t="str">
        <f>IF(SUM(BG58:BN58)=0,"",TheModel!$J$34)</f>
        <v/>
      </c>
      <c r="CH58" s="165" t="str">
        <f>IF(SUM(BO58:BV58)=0,"",TheModel!$G$35)</f>
        <v/>
      </c>
    </row>
    <row r="59" spans="1:86" x14ac:dyDescent="0.25">
      <c r="A59" s="107">
        <v>54</v>
      </c>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32">
        <f t="shared" si="4"/>
        <v>0</v>
      </c>
      <c r="BY59" s="170">
        <v>54</v>
      </c>
      <c r="BZ59" s="166" t="str">
        <f>IF(SUM(C59:J59)=0,"",SUMPRODUCT(C59:I59,TheModel!$G$27:$M$27)/SUM(C59:I59))</f>
        <v/>
      </c>
      <c r="CA59" s="166" t="str">
        <f>IF(SUM(K59:R59)=0,"",TheModel!$G$28)</f>
        <v/>
      </c>
      <c r="CB59" s="166" t="str">
        <f>IF(SUM(S59:Z59)=0,"",SUMPRODUCT(S59:Y59,TheModel!$G$29:$M$29)/SUM(S59:Y59))</f>
        <v/>
      </c>
      <c r="CC59" s="165" t="str">
        <f>IF(SUM(AA59:AH59)=0,"",TheModel!$G$30)</f>
        <v/>
      </c>
      <c r="CD59" s="165" t="str">
        <f>IF(SUM(AI59:AP59)=0,"",TheModel!$G$31)</f>
        <v/>
      </c>
      <c r="CE59" s="166" t="str">
        <f>IF(SUM(AQ59:AX59)=0,"",SUMPRODUCT(AQ59:AW59,TheModel!$G$32:$M$32)/SUM(AQ59:AW59))</f>
        <v/>
      </c>
      <c r="CF59" s="166" t="str">
        <f>IF(SUM(AY59:BF59)=0,"",SUMPRODUCT(AY59:BE59,TheModel!$G$33:$M$33)/SUM(AY59:BE59))</f>
        <v/>
      </c>
      <c r="CG59" s="165" t="str">
        <f>IF(SUM(BG59:BN59)=0,"",TheModel!$J$34)</f>
        <v/>
      </c>
      <c r="CH59" s="165" t="str">
        <f>IF(SUM(BO59:BV59)=0,"",TheModel!$G$35)</f>
        <v/>
      </c>
    </row>
    <row r="60" spans="1:86" x14ac:dyDescent="0.25">
      <c r="A60" s="107">
        <v>55</v>
      </c>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32">
        <f t="shared" si="4"/>
        <v>0</v>
      </c>
      <c r="BY60" s="170">
        <v>55</v>
      </c>
      <c r="BZ60" s="166" t="str">
        <f>IF(SUM(C60:J60)=0,"",SUMPRODUCT(C60:I60,TheModel!$G$27:$M$27)/SUM(C60:I60))</f>
        <v/>
      </c>
      <c r="CA60" s="166" t="str">
        <f>IF(SUM(K60:R60)=0,"",TheModel!$G$28)</f>
        <v/>
      </c>
      <c r="CB60" s="166" t="str">
        <f>IF(SUM(S60:Z60)=0,"",SUMPRODUCT(S60:Y60,TheModel!$G$29:$M$29)/SUM(S60:Y60))</f>
        <v/>
      </c>
      <c r="CC60" s="165" t="str">
        <f>IF(SUM(AA60:AH60)=0,"",TheModel!$G$30)</f>
        <v/>
      </c>
      <c r="CD60" s="165" t="str">
        <f>IF(SUM(AI60:AP60)=0,"",TheModel!$G$31)</f>
        <v/>
      </c>
      <c r="CE60" s="166" t="str">
        <f>IF(SUM(AQ60:AX60)=0,"",SUMPRODUCT(AQ60:AW60,TheModel!$G$32:$M$32)/SUM(AQ60:AW60))</f>
        <v/>
      </c>
      <c r="CF60" s="166" t="str">
        <f>IF(SUM(AY60:BF60)=0,"",SUMPRODUCT(AY60:BE60,TheModel!$G$33:$M$33)/SUM(AY60:BE60))</f>
        <v/>
      </c>
      <c r="CG60" s="165" t="str">
        <f>IF(SUM(BG60:BN60)=0,"",TheModel!$J$34)</f>
        <v/>
      </c>
      <c r="CH60" s="165" t="str">
        <f>IF(SUM(BO60:BV60)=0,"",TheModel!$G$35)</f>
        <v/>
      </c>
    </row>
    <row r="61" spans="1:86" x14ac:dyDescent="0.25">
      <c r="A61" s="107">
        <v>56</v>
      </c>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32">
        <f t="shared" si="4"/>
        <v>0</v>
      </c>
      <c r="BY61" s="170">
        <v>56</v>
      </c>
      <c r="BZ61" s="166" t="str">
        <f>IF(SUM(C61:J61)=0,"",SUMPRODUCT(C61:I61,TheModel!$G$27:$M$27)/SUM(C61:I61))</f>
        <v/>
      </c>
      <c r="CA61" s="166" t="str">
        <f>IF(SUM(K61:R61)=0,"",TheModel!$G$28)</f>
        <v/>
      </c>
      <c r="CB61" s="166" t="str">
        <f>IF(SUM(S61:Z61)=0,"",SUMPRODUCT(S61:Y61,TheModel!$G$29:$M$29)/SUM(S61:Y61))</f>
        <v/>
      </c>
      <c r="CC61" s="165" t="str">
        <f>IF(SUM(AA61:AH61)=0,"",TheModel!$G$30)</f>
        <v/>
      </c>
      <c r="CD61" s="165" t="str">
        <f>IF(SUM(AI61:AP61)=0,"",TheModel!$G$31)</f>
        <v/>
      </c>
      <c r="CE61" s="166" t="str">
        <f>IF(SUM(AQ61:AX61)=0,"",SUMPRODUCT(AQ61:AW61,TheModel!$G$32:$M$32)/SUM(AQ61:AW61))</f>
        <v/>
      </c>
      <c r="CF61" s="166" t="str">
        <f>IF(SUM(AY61:BF61)=0,"",SUMPRODUCT(AY61:BE61,TheModel!$G$33:$M$33)/SUM(AY61:BE61))</f>
        <v/>
      </c>
      <c r="CG61" s="165" t="str">
        <f>IF(SUM(BG61:BN61)=0,"",TheModel!$J$34)</f>
        <v/>
      </c>
      <c r="CH61" s="165" t="str">
        <f>IF(SUM(BO61:BV61)=0,"",TheModel!$G$35)</f>
        <v/>
      </c>
    </row>
    <row r="62" spans="1:86" x14ac:dyDescent="0.25">
      <c r="A62" s="107">
        <v>57</v>
      </c>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32">
        <f t="shared" si="4"/>
        <v>0</v>
      </c>
      <c r="BY62" s="170">
        <v>57</v>
      </c>
      <c r="BZ62" s="166" t="str">
        <f>IF(SUM(C62:J62)=0,"",SUMPRODUCT(C62:I62,TheModel!$G$27:$M$27)/SUM(C62:I62))</f>
        <v/>
      </c>
      <c r="CA62" s="166" t="str">
        <f>IF(SUM(K62:R62)=0,"",TheModel!$G$28)</f>
        <v/>
      </c>
      <c r="CB62" s="166" t="str">
        <f>IF(SUM(S62:Z62)=0,"",SUMPRODUCT(S62:Y62,TheModel!$G$29:$M$29)/SUM(S62:Y62))</f>
        <v/>
      </c>
      <c r="CC62" s="165" t="str">
        <f>IF(SUM(AA62:AH62)=0,"",TheModel!$G$30)</f>
        <v/>
      </c>
      <c r="CD62" s="165" t="str">
        <f>IF(SUM(AI62:AP62)=0,"",TheModel!$G$31)</f>
        <v/>
      </c>
      <c r="CE62" s="166" t="str">
        <f>IF(SUM(AQ62:AX62)=0,"",SUMPRODUCT(AQ62:AW62,TheModel!$G$32:$M$32)/SUM(AQ62:AW62))</f>
        <v/>
      </c>
      <c r="CF62" s="166" t="str">
        <f>IF(SUM(AY62:BF62)=0,"",SUMPRODUCT(AY62:BE62,TheModel!$G$33:$M$33)/SUM(AY62:BE62))</f>
        <v/>
      </c>
      <c r="CG62" s="165" t="str">
        <f>IF(SUM(BG62:BN62)=0,"",TheModel!$J$34)</f>
        <v/>
      </c>
      <c r="CH62" s="165" t="str">
        <f>IF(SUM(BO62:BV62)=0,"",TheModel!$G$35)</f>
        <v/>
      </c>
    </row>
    <row r="63" spans="1:86" x14ac:dyDescent="0.25">
      <c r="A63" s="107">
        <v>58</v>
      </c>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32">
        <f t="shared" si="4"/>
        <v>0</v>
      </c>
      <c r="BY63" s="170">
        <v>58</v>
      </c>
      <c r="BZ63" s="166" t="str">
        <f>IF(SUM(C63:J63)=0,"",SUMPRODUCT(C63:I63,TheModel!$G$27:$M$27)/SUM(C63:I63))</f>
        <v/>
      </c>
      <c r="CA63" s="166" t="str">
        <f>IF(SUM(K63:R63)=0,"",TheModel!$G$28)</f>
        <v/>
      </c>
      <c r="CB63" s="166" t="str">
        <f>IF(SUM(S63:Z63)=0,"",SUMPRODUCT(S63:Y63,TheModel!$G$29:$M$29)/SUM(S63:Y63))</f>
        <v/>
      </c>
      <c r="CC63" s="165" t="str">
        <f>IF(SUM(AA63:AH63)=0,"",TheModel!$G$30)</f>
        <v/>
      </c>
      <c r="CD63" s="165" t="str">
        <f>IF(SUM(AI63:AP63)=0,"",TheModel!$G$31)</f>
        <v/>
      </c>
      <c r="CE63" s="166" t="str">
        <f>IF(SUM(AQ63:AX63)=0,"",SUMPRODUCT(AQ63:AW63,TheModel!$G$32:$M$32)/SUM(AQ63:AW63))</f>
        <v/>
      </c>
      <c r="CF63" s="166" t="str">
        <f>IF(SUM(AY63:BF63)=0,"",SUMPRODUCT(AY63:BE63,TheModel!$G$33:$M$33)/SUM(AY63:BE63))</f>
        <v/>
      </c>
      <c r="CG63" s="165" t="str">
        <f>IF(SUM(BG63:BN63)=0,"",TheModel!$J$34)</f>
        <v/>
      </c>
      <c r="CH63" s="165" t="str">
        <f>IF(SUM(BO63:BV63)=0,"",TheModel!$G$35)</f>
        <v/>
      </c>
    </row>
    <row r="64" spans="1:86" x14ac:dyDescent="0.25">
      <c r="A64" s="107">
        <v>59</v>
      </c>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32">
        <f t="shared" si="4"/>
        <v>0</v>
      </c>
      <c r="BY64" s="170">
        <v>59</v>
      </c>
      <c r="BZ64" s="166" t="str">
        <f>IF(SUM(C64:J64)=0,"",SUMPRODUCT(C64:I64,TheModel!$G$27:$M$27)/SUM(C64:I64))</f>
        <v/>
      </c>
      <c r="CA64" s="166" t="str">
        <f>IF(SUM(K64:R64)=0,"",TheModel!$G$28)</f>
        <v/>
      </c>
      <c r="CB64" s="166" t="str">
        <f>IF(SUM(S64:Z64)=0,"",SUMPRODUCT(S64:Y64,TheModel!$G$29:$M$29)/SUM(S64:Y64))</f>
        <v/>
      </c>
      <c r="CC64" s="165" t="str">
        <f>IF(SUM(AA64:AH64)=0,"",TheModel!$G$30)</f>
        <v/>
      </c>
      <c r="CD64" s="165" t="str">
        <f>IF(SUM(AI64:AP64)=0,"",TheModel!$G$31)</f>
        <v/>
      </c>
      <c r="CE64" s="166" t="str">
        <f>IF(SUM(AQ64:AX64)=0,"",SUMPRODUCT(AQ64:AW64,TheModel!$G$32:$M$32)/SUM(AQ64:AW64))</f>
        <v/>
      </c>
      <c r="CF64" s="166" t="str">
        <f>IF(SUM(AY64:BF64)=0,"",SUMPRODUCT(AY64:BE64,TheModel!$G$33:$M$33)/SUM(AY64:BE64))</f>
        <v/>
      </c>
      <c r="CG64" s="165" t="str">
        <f>IF(SUM(BG64:BN64)=0,"",TheModel!$J$34)</f>
        <v/>
      </c>
      <c r="CH64" s="165" t="str">
        <f>IF(SUM(BO64:BV64)=0,"",TheModel!$G$35)</f>
        <v/>
      </c>
    </row>
    <row r="65" spans="1:86" x14ac:dyDescent="0.25">
      <c r="A65" s="107">
        <v>60</v>
      </c>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32">
        <f t="shared" si="4"/>
        <v>0</v>
      </c>
      <c r="BY65" s="170">
        <v>60</v>
      </c>
      <c r="BZ65" s="166" t="str">
        <f>IF(SUM(C65:J65)=0,"",SUMPRODUCT(C65:I65,TheModel!$G$27:$M$27)/SUM(C65:I65))</f>
        <v/>
      </c>
      <c r="CA65" s="166" t="str">
        <f>IF(SUM(K65:R65)=0,"",TheModel!$G$28)</f>
        <v/>
      </c>
      <c r="CB65" s="166" t="str">
        <f>IF(SUM(S65:Z65)=0,"",SUMPRODUCT(S65:Y65,TheModel!$G$29:$M$29)/SUM(S65:Y65))</f>
        <v/>
      </c>
      <c r="CC65" s="165" t="str">
        <f>IF(SUM(AA65:AH65)=0,"",TheModel!$G$30)</f>
        <v/>
      </c>
      <c r="CD65" s="165" t="str">
        <f>IF(SUM(AI65:AP65)=0,"",TheModel!$G$31)</f>
        <v/>
      </c>
      <c r="CE65" s="166" t="str">
        <f>IF(SUM(AQ65:AX65)=0,"",SUMPRODUCT(AQ65:AW65,TheModel!$G$32:$M$32)/SUM(AQ65:AW65))</f>
        <v/>
      </c>
      <c r="CF65" s="166" t="str">
        <f>IF(SUM(AY65:BF65)=0,"",SUMPRODUCT(AY65:BE65,TheModel!$G$33:$M$33)/SUM(AY65:BE65))</f>
        <v/>
      </c>
      <c r="CG65" s="165" t="str">
        <f>IF(SUM(BG65:BN65)=0,"",TheModel!$J$34)</f>
        <v/>
      </c>
      <c r="CH65" s="165" t="str">
        <f>IF(SUM(BO65:BV65)=0,"",TheModel!$G$35)</f>
        <v/>
      </c>
    </row>
    <row r="66" spans="1:86" x14ac:dyDescent="0.25">
      <c r="A66" s="107">
        <v>61</v>
      </c>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32">
        <f t="shared" si="4"/>
        <v>0</v>
      </c>
      <c r="BY66" s="170">
        <v>61</v>
      </c>
      <c r="BZ66" s="166" t="str">
        <f>IF(SUM(C66:J66)=0,"",SUMPRODUCT(C66:I66,TheModel!$G$27:$M$27)/SUM(C66:I66))</f>
        <v/>
      </c>
      <c r="CA66" s="166" t="str">
        <f>IF(SUM(K66:R66)=0,"",TheModel!$G$28)</f>
        <v/>
      </c>
      <c r="CB66" s="166" t="str">
        <f>IF(SUM(S66:Z66)=0,"",SUMPRODUCT(S66:Y66,TheModel!$G$29:$M$29)/SUM(S66:Y66))</f>
        <v/>
      </c>
      <c r="CC66" s="165" t="str">
        <f>IF(SUM(AA66:AH66)=0,"",TheModel!$G$30)</f>
        <v/>
      </c>
      <c r="CD66" s="165" t="str">
        <f>IF(SUM(AI66:AP66)=0,"",TheModel!$G$31)</f>
        <v/>
      </c>
      <c r="CE66" s="166" t="str">
        <f>IF(SUM(AQ66:AX66)=0,"",SUMPRODUCT(AQ66:AW66,TheModel!$G$32:$M$32)/SUM(AQ66:AW66))</f>
        <v/>
      </c>
      <c r="CF66" s="166" t="str">
        <f>IF(SUM(AY66:BF66)=0,"",SUMPRODUCT(AY66:BE66,TheModel!$G$33:$M$33)/SUM(AY66:BE66))</f>
        <v/>
      </c>
      <c r="CG66" s="165" t="str">
        <f>IF(SUM(BG66:BN66)=0,"",TheModel!$J$34)</f>
        <v/>
      </c>
      <c r="CH66" s="165" t="str">
        <f>IF(SUM(BO66:BV66)=0,"",TheModel!$G$35)</f>
        <v/>
      </c>
    </row>
    <row r="67" spans="1:86" x14ac:dyDescent="0.25">
      <c r="A67" s="107">
        <v>62</v>
      </c>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32">
        <f t="shared" si="4"/>
        <v>0</v>
      </c>
      <c r="BY67" s="170">
        <v>62</v>
      </c>
      <c r="BZ67" s="166" t="str">
        <f>IF(SUM(C67:J67)=0,"",SUMPRODUCT(C67:I67,TheModel!$G$27:$M$27)/SUM(C67:I67))</f>
        <v/>
      </c>
      <c r="CA67" s="166" t="str">
        <f>IF(SUM(K67:R67)=0,"",TheModel!$G$28)</f>
        <v/>
      </c>
      <c r="CB67" s="166" t="str">
        <f>IF(SUM(S67:Z67)=0,"",SUMPRODUCT(S67:Y67,TheModel!$G$29:$M$29)/SUM(S67:Y67))</f>
        <v/>
      </c>
      <c r="CC67" s="165" t="str">
        <f>IF(SUM(AA67:AH67)=0,"",TheModel!$G$30)</f>
        <v/>
      </c>
      <c r="CD67" s="165" t="str">
        <f>IF(SUM(AI67:AP67)=0,"",TheModel!$G$31)</f>
        <v/>
      </c>
      <c r="CE67" s="166" t="str">
        <f>IF(SUM(AQ67:AX67)=0,"",SUMPRODUCT(AQ67:AW67,TheModel!$G$32:$M$32)/SUM(AQ67:AW67))</f>
        <v/>
      </c>
      <c r="CF67" s="166" t="str">
        <f>IF(SUM(AY67:BF67)=0,"",SUMPRODUCT(AY67:BE67,TheModel!$G$33:$M$33)/SUM(AY67:BE67))</f>
        <v/>
      </c>
      <c r="CG67" s="165" t="str">
        <f>IF(SUM(BG67:BN67)=0,"",TheModel!$J$34)</f>
        <v/>
      </c>
      <c r="CH67" s="165" t="str">
        <f>IF(SUM(BO67:BV67)=0,"",TheModel!$G$35)</f>
        <v/>
      </c>
    </row>
    <row r="68" spans="1:86" x14ac:dyDescent="0.25">
      <c r="A68" s="107">
        <v>63</v>
      </c>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32">
        <f t="shared" si="4"/>
        <v>0</v>
      </c>
      <c r="BY68" s="170">
        <v>63</v>
      </c>
      <c r="BZ68" s="166" t="str">
        <f>IF(SUM(C68:J68)=0,"",SUMPRODUCT(C68:I68,TheModel!$G$27:$M$27)/SUM(C68:I68))</f>
        <v/>
      </c>
      <c r="CA68" s="166" t="str">
        <f>IF(SUM(K68:R68)=0,"",TheModel!$G$28)</f>
        <v/>
      </c>
      <c r="CB68" s="166" t="str">
        <f>IF(SUM(S68:Z68)=0,"",SUMPRODUCT(S68:Y68,TheModel!$G$29:$M$29)/SUM(S68:Y68))</f>
        <v/>
      </c>
      <c r="CC68" s="165" t="str">
        <f>IF(SUM(AA68:AH68)=0,"",TheModel!$G$30)</f>
        <v/>
      </c>
      <c r="CD68" s="165" t="str">
        <f>IF(SUM(AI68:AP68)=0,"",TheModel!$G$31)</f>
        <v/>
      </c>
      <c r="CE68" s="166" t="str">
        <f>IF(SUM(AQ68:AX68)=0,"",SUMPRODUCT(AQ68:AW68,TheModel!$G$32:$M$32)/SUM(AQ68:AW68))</f>
        <v/>
      </c>
      <c r="CF68" s="166" t="str">
        <f>IF(SUM(AY68:BF68)=0,"",SUMPRODUCT(AY68:BE68,TheModel!$G$33:$M$33)/SUM(AY68:BE68))</f>
        <v/>
      </c>
      <c r="CG68" s="165" t="str">
        <f>IF(SUM(BG68:BN68)=0,"",TheModel!$J$34)</f>
        <v/>
      </c>
      <c r="CH68" s="165" t="str">
        <f>IF(SUM(BO68:BV68)=0,"",TheModel!$G$35)</f>
        <v/>
      </c>
    </row>
    <row r="69" spans="1:86" x14ac:dyDescent="0.25">
      <c r="A69" s="107">
        <v>64</v>
      </c>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32">
        <f t="shared" si="4"/>
        <v>0</v>
      </c>
      <c r="BY69" s="170">
        <v>64</v>
      </c>
      <c r="BZ69" s="166" t="str">
        <f>IF(SUM(C69:J69)=0,"",SUMPRODUCT(C69:I69,TheModel!$G$27:$M$27)/SUM(C69:I69))</f>
        <v/>
      </c>
      <c r="CA69" s="166" t="str">
        <f>IF(SUM(K69:R69)=0,"",TheModel!$G$28)</f>
        <v/>
      </c>
      <c r="CB69" s="166" t="str">
        <f>IF(SUM(S69:Z69)=0,"",SUMPRODUCT(S69:Y69,TheModel!$G$29:$M$29)/SUM(S69:Y69))</f>
        <v/>
      </c>
      <c r="CC69" s="165" t="str">
        <f>IF(SUM(AA69:AH69)=0,"",TheModel!$G$30)</f>
        <v/>
      </c>
      <c r="CD69" s="165" t="str">
        <f>IF(SUM(AI69:AP69)=0,"",TheModel!$G$31)</f>
        <v/>
      </c>
      <c r="CE69" s="166" t="str">
        <f>IF(SUM(AQ69:AX69)=0,"",SUMPRODUCT(AQ69:AW69,TheModel!$G$32:$M$32)/SUM(AQ69:AW69))</f>
        <v/>
      </c>
      <c r="CF69" s="166" t="str">
        <f>IF(SUM(AY69:BF69)=0,"",SUMPRODUCT(AY69:BE69,TheModel!$G$33:$M$33)/SUM(AY69:BE69))</f>
        <v/>
      </c>
      <c r="CG69" s="165" t="str">
        <f>IF(SUM(BG69:BN69)=0,"",TheModel!$J$34)</f>
        <v/>
      </c>
      <c r="CH69" s="165" t="str">
        <f>IF(SUM(BO69:BV69)=0,"",TheModel!$G$35)</f>
        <v/>
      </c>
    </row>
    <row r="70" spans="1:86" ht="15.75" thickBot="1" x14ac:dyDescent="0.3">
      <c r="A70" s="108"/>
      <c r="B70" s="108"/>
      <c r="C70" s="108"/>
      <c r="D70" s="108"/>
      <c r="E70" s="108"/>
      <c r="F70" s="108"/>
      <c r="G70" s="108"/>
      <c r="H70" s="108"/>
      <c r="I70" s="108"/>
      <c r="J70" s="108"/>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30"/>
      <c r="BW70" s="133">
        <f t="shared" si="4"/>
        <v>0</v>
      </c>
    </row>
    <row r="71" spans="1:86" x14ac:dyDescent="0.25">
      <c r="BW71"/>
    </row>
    <row r="72" spans="1:86" x14ac:dyDescent="0.25">
      <c r="BW72"/>
    </row>
    <row r="73" spans="1:86" x14ac:dyDescent="0.25">
      <c r="BW73"/>
    </row>
    <row r="74" spans="1:86" x14ac:dyDescent="0.25">
      <c r="BW74"/>
    </row>
    <row r="75" spans="1:86" x14ac:dyDescent="0.25">
      <c r="BW75"/>
    </row>
    <row r="76" spans="1:86" x14ac:dyDescent="0.25">
      <c r="BW76"/>
    </row>
    <row r="77" spans="1:86" x14ac:dyDescent="0.25">
      <c r="BW77"/>
    </row>
    <row r="78" spans="1:86" x14ac:dyDescent="0.25">
      <c r="BW78"/>
    </row>
    <row r="79" spans="1:86" x14ac:dyDescent="0.25">
      <c r="BW79"/>
    </row>
    <row r="80" spans="1:86" x14ac:dyDescent="0.25">
      <c r="BW80"/>
    </row>
    <row r="81" spans="75:75" x14ac:dyDescent="0.25">
      <c r="BW81"/>
    </row>
    <row r="82" spans="75:75" x14ac:dyDescent="0.25">
      <c r="BW82"/>
    </row>
    <row r="83" spans="75:75" x14ac:dyDescent="0.25">
      <c r="BW83"/>
    </row>
    <row r="84" spans="75:75" x14ac:dyDescent="0.25">
      <c r="BW84"/>
    </row>
    <row r="85" spans="75:75" x14ac:dyDescent="0.25">
      <c r="BW85"/>
    </row>
    <row r="86" spans="75:75" x14ac:dyDescent="0.25">
      <c r="BW86"/>
    </row>
    <row r="87" spans="75:75" x14ac:dyDescent="0.25">
      <c r="BW87"/>
    </row>
    <row r="88" spans="75:75" x14ac:dyDescent="0.25">
      <c r="BW88"/>
    </row>
    <row r="89" spans="75:75" x14ac:dyDescent="0.25">
      <c r="BW89"/>
    </row>
    <row r="90" spans="75:75" x14ac:dyDescent="0.25">
      <c r="BW90"/>
    </row>
    <row r="91" spans="75:75" x14ac:dyDescent="0.25">
      <c r="BW91"/>
    </row>
    <row r="92" spans="75:75" x14ac:dyDescent="0.25">
      <c r="BW92"/>
    </row>
    <row r="93" spans="75:75" x14ac:dyDescent="0.25">
      <c r="BW93"/>
    </row>
    <row r="94" spans="75:75" x14ac:dyDescent="0.25">
      <c r="BW94"/>
    </row>
    <row r="95" spans="75:75" x14ac:dyDescent="0.25">
      <c r="BW95"/>
    </row>
    <row r="96" spans="75:75" x14ac:dyDescent="0.25">
      <c r="BW96"/>
    </row>
    <row r="97" spans="75:75" x14ac:dyDescent="0.25">
      <c r="BW97"/>
    </row>
    <row r="98" spans="75:75" x14ac:dyDescent="0.25">
      <c r="BW98"/>
    </row>
    <row r="99" spans="75:75" x14ac:dyDescent="0.25">
      <c r="BW99"/>
    </row>
    <row r="100" spans="75:75" x14ac:dyDescent="0.25">
      <c r="BW100"/>
    </row>
    <row r="101" spans="75:75" x14ac:dyDescent="0.25">
      <c r="BW101"/>
    </row>
    <row r="102" spans="75:75" x14ac:dyDescent="0.25">
      <c r="BW102"/>
    </row>
    <row r="103" spans="75:75" x14ac:dyDescent="0.25">
      <c r="BW103"/>
    </row>
    <row r="104" spans="75:75" x14ac:dyDescent="0.25">
      <c r="BW104"/>
    </row>
    <row r="105" spans="75:75" x14ac:dyDescent="0.25">
      <c r="BW105"/>
    </row>
    <row r="106" spans="75:75" x14ac:dyDescent="0.25">
      <c r="BW106"/>
    </row>
    <row r="107" spans="75:75" x14ac:dyDescent="0.25">
      <c r="BW107"/>
    </row>
    <row r="108" spans="75:75" x14ac:dyDescent="0.25">
      <c r="BW108"/>
    </row>
    <row r="109" spans="75:75" x14ac:dyDescent="0.25">
      <c r="BW109"/>
    </row>
    <row r="110" spans="75:75" x14ac:dyDescent="0.25">
      <c r="BW110"/>
    </row>
    <row r="111" spans="75:75" x14ac:dyDescent="0.25">
      <c r="BW111"/>
    </row>
    <row r="112" spans="75:75" x14ac:dyDescent="0.25">
      <c r="BW112"/>
    </row>
    <row r="113" spans="75:75" x14ac:dyDescent="0.25">
      <c r="BW113"/>
    </row>
    <row r="114" spans="75:75" x14ac:dyDescent="0.25">
      <c r="BW114"/>
    </row>
    <row r="115" spans="75:75" x14ac:dyDescent="0.25">
      <c r="BW115"/>
    </row>
    <row r="116" spans="75:75" x14ac:dyDescent="0.25">
      <c r="BW116"/>
    </row>
    <row r="117" spans="75:75" x14ac:dyDescent="0.25">
      <c r="BW117"/>
    </row>
    <row r="118" spans="75:75" x14ac:dyDescent="0.25">
      <c r="BW118"/>
    </row>
  </sheetData>
  <mergeCells count="30">
    <mergeCell ref="B1:J1"/>
    <mergeCell ref="S2:Z2"/>
    <mergeCell ref="AA4:AH4"/>
    <mergeCell ref="AA2:AH2"/>
    <mergeCell ref="AI4:AP4"/>
    <mergeCell ref="AI2:AP2"/>
    <mergeCell ref="C4:J4"/>
    <mergeCell ref="K4:R4"/>
    <mergeCell ref="S4:Z4"/>
    <mergeCell ref="C2:J2"/>
    <mergeCell ref="K2:R2"/>
    <mergeCell ref="BO4:BV4"/>
    <mergeCell ref="AQ4:AX4"/>
    <mergeCell ref="AY4:BF4"/>
    <mergeCell ref="BG4:BN4"/>
    <mergeCell ref="AQ2:AX2"/>
    <mergeCell ref="AY2:BF2"/>
    <mergeCell ref="BG2:BN2"/>
    <mergeCell ref="BO2:BV2"/>
    <mergeCell ref="CH4:CH5"/>
    <mergeCell ref="CF4:CF5"/>
    <mergeCell ref="BW4:BW5"/>
    <mergeCell ref="BZ3:CH3"/>
    <mergeCell ref="BZ4:BZ5"/>
    <mergeCell ref="CA4:CA5"/>
    <mergeCell ref="CB4:CB5"/>
    <mergeCell ref="CC4:CC5"/>
    <mergeCell ref="CD4:CD5"/>
    <mergeCell ref="CE4:CE5"/>
    <mergeCell ref="CG4:CG5"/>
  </mergeCells>
  <pageMargins left="0.7" right="0.7" top="0.75" bottom="0.75" header="0.3" footer="0.3"/>
  <pageSetup orientation="portrait" r:id="rId1"/>
  <ignoredErrors>
    <ignoredError sqref="CE7 CA6:CA10 CC6:CC10 CD6:CD9 CF6:CH9"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A7" sqref="A7:XFD7"/>
    </sheetView>
  </sheetViews>
  <sheetFormatPr defaultRowHeight="15" x14ac:dyDescent="0.25"/>
  <cols>
    <col min="1" max="1" width="4.85546875" customWidth="1"/>
    <col min="2" max="2" width="37.7109375" customWidth="1"/>
    <col min="3" max="3" width="20" customWidth="1"/>
    <col min="4" max="4" width="9.140625" style="150"/>
  </cols>
  <sheetData>
    <row r="1" spans="1:11" s="8" customFormat="1" ht="19.5" customHeight="1" x14ac:dyDescent="0.25">
      <c r="A1" s="42" t="s">
        <v>65</v>
      </c>
      <c r="B1" s="42"/>
      <c r="C1" s="24"/>
      <c r="D1" s="24"/>
      <c r="E1" s="24"/>
      <c r="F1" s="24"/>
      <c r="G1" s="24"/>
      <c r="H1" s="24"/>
      <c r="I1" s="24"/>
      <c r="J1" s="24"/>
      <c r="K1" s="24"/>
    </row>
    <row r="2" spans="1:11" x14ac:dyDescent="0.25">
      <c r="B2" s="40" t="s">
        <v>160</v>
      </c>
      <c r="C2" s="40" t="s">
        <v>141</v>
      </c>
      <c r="D2" s="150" t="s">
        <v>75</v>
      </c>
    </row>
    <row r="3" spans="1:11" x14ac:dyDescent="0.25">
      <c r="A3">
        <v>1</v>
      </c>
      <c r="B3" t="s">
        <v>147</v>
      </c>
      <c r="C3" s="154" t="s">
        <v>148</v>
      </c>
      <c r="D3" s="2" t="s">
        <v>149</v>
      </c>
    </row>
    <row r="4" spans="1:11" x14ac:dyDescent="0.25">
      <c r="A4">
        <v>2</v>
      </c>
      <c r="B4" t="s">
        <v>138</v>
      </c>
      <c r="C4" s="154" t="s">
        <v>1</v>
      </c>
      <c r="D4" s="2" t="s">
        <v>151</v>
      </c>
    </row>
    <row r="5" spans="1:11" x14ac:dyDescent="0.25">
      <c r="A5">
        <v>3</v>
      </c>
      <c r="B5" t="s">
        <v>139</v>
      </c>
      <c r="C5" s="154" t="s">
        <v>142</v>
      </c>
      <c r="D5" s="2" t="s">
        <v>151</v>
      </c>
    </row>
    <row r="6" spans="1:11" x14ac:dyDescent="0.25">
      <c r="A6">
        <v>4</v>
      </c>
      <c r="B6" t="s">
        <v>140</v>
      </c>
      <c r="C6" s="154" t="s">
        <v>143</v>
      </c>
      <c r="D6" s="2" t="s">
        <v>152</v>
      </c>
    </row>
    <row r="7" spans="1:11" x14ac:dyDescent="0.25">
      <c r="A7">
        <v>5</v>
      </c>
      <c r="B7" t="s">
        <v>156</v>
      </c>
      <c r="C7" s="154" t="s">
        <v>144</v>
      </c>
      <c r="D7" s="2" t="s">
        <v>150</v>
      </c>
    </row>
    <row r="8" spans="1:11" x14ac:dyDescent="0.25">
      <c r="A8">
        <v>6</v>
      </c>
      <c r="B8" t="s">
        <v>145</v>
      </c>
      <c r="C8" s="154" t="s">
        <v>144</v>
      </c>
      <c r="D8" s="2" t="s">
        <v>153</v>
      </c>
    </row>
    <row r="9" spans="1:11" x14ac:dyDescent="0.25">
      <c r="A9">
        <v>7</v>
      </c>
      <c r="B9" t="s">
        <v>146</v>
      </c>
      <c r="C9" s="154" t="s">
        <v>144</v>
      </c>
      <c r="D9" s="2" t="s">
        <v>154</v>
      </c>
    </row>
    <row r="10" spans="1:11" x14ac:dyDescent="0.25">
      <c r="A10">
        <v>9</v>
      </c>
      <c r="B10" t="s">
        <v>155</v>
      </c>
      <c r="C10" s="161">
        <v>1</v>
      </c>
    </row>
    <row r="12" spans="1:11" x14ac:dyDescent="0.25">
      <c r="B12" s="40" t="s">
        <v>159</v>
      </c>
    </row>
    <row r="13" spans="1:11" x14ac:dyDescent="0.25">
      <c r="B13" s="342" t="s">
        <v>69</v>
      </c>
      <c r="C13" s="342"/>
      <c r="D13" s="342"/>
      <c r="E13" s="342"/>
      <c r="F13" s="342"/>
      <c r="G13" s="342"/>
      <c r="H13" s="342"/>
      <c r="I13" s="342"/>
      <c r="J13" s="342"/>
    </row>
    <row r="14" spans="1:11" x14ac:dyDescent="0.25">
      <c r="B14" s="342"/>
      <c r="C14" s="342"/>
      <c r="D14" s="342"/>
      <c r="E14" s="342"/>
      <c r="F14" s="342"/>
      <c r="G14" s="342"/>
      <c r="H14" s="342"/>
      <c r="I14" s="342"/>
      <c r="J14" s="342"/>
    </row>
    <row r="15" spans="1:11" x14ac:dyDescent="0.25">
      <c r="D15"/>
    </row>
    <row r="16" spans="1:11" x14ac:dyDescent="0.25">
      <c r="B16" s="342" t="s">
        <v>73</v>
      </c>
      <c r="C16" s="342"/>
      <c r="D16" s="342"/>
      <c r="E16" s="342"/>
      <c r="F16" s="342"/>
      <c r="G16" s="342"/>
      <c r="H16" s="342"/>
      <c r="I16" s="342"/>
      <c r="J16" s="342"/>
    </row>
    <row r="17" spans="2:10" x14ac:dyDescent="0.25">
      <c r="B17" s="151"/>
      <c r="C17" s="151"/>
      <c r="D17" s="151"/>
      <c r="E17" s="151"/>
      <c r="F17" s="151"/>
      <c r="G17" s="151"/>
      <c r="H17" s="151"/>
      <c r="I17" s="151"/>
      <c r="J17" s="151"/>
    </row>
    <row r="18" spans="2:10" x14ac:dyDescent="0.25">
      <c r="B18" s="151"/>
      <c r="C18" s="153" t="s">
        <v>74</v>
      </c>
      <c r="D18" s="153" t="s">
        <v>75</v>
      </c>
      <c r="E18" s="343" t="s">
        <v>76</v>
      </c>
      <c r="F18" s="343"/>
      <c r="G18" s="343"/>
      <c r="H18" s="343"/>
      <c r="I18" s="151"/>
      <c r="J18" s="151"/>
    </row>
    <row r="19" spans="2:10" x14ac:dyDescent="0.25">
      <c r="B19" s="151"/>
      <c r="C19" s="152" t="s">
        <v>77</v>
      </c>
      <c r="D19" s="61" t="s">
        <v>78</v>
      </c>
      <c r="E19" s="362" t="s">
        <v>79</v>
      </c>
      <c r="F19" s="362"/>
      <c r="G19" s="362"/>
      <c r="H19" s="362"/>
      <c r="I19" s="151"/>
      <c r="J19" s="151"/>
    </row>
    <row r="20" spans="2:10" x14ac:dyDescent="0.25">
      <c r="C20" t="s">
        <v>28</v>
      </c>
      <c r="D20" s="62" t="s">
        <v>109</v>
      </c>
      <c r="E20" s="362" t="s">
        <v>70</v>
      </c>
      <c r="F20" s="362"/>
      <c r="G20" s="362"/>
      <c r="H20" s="362"/>
    </row>
    <row r="21" spans="2:10" x14ac:dyDescent="0.25">
      <c r="C21" t="s">
        <v>71</v>
      </c>
      <c r="D21" s="62" t="s">
        <v>80</v>
      </c>
      <c r="E21" s="362" t="s">
        <v>72</v>
      </c>
      <c r="F21" s="362"/>
      <c r="G21" s="362"/>
      <c r="H21" s="362"/>
    </row>
    <row r="22" spans="2:10" x14ac:dyDescent="0.25">
      <c r="C22" t="s">
        <v>82</v>
      </c>
      <c r="D22" s="62" t="s">
        <v>87</v>
      </c>
      <c r="E22" s="362" t="s">
        <v>81</v>
      </c>
      <c r="F22" s="362"/>
      <c r="G22" s="362"/>
      <c r="H22" s="362"/>
    </row>
    <row r="23" spans="2:10" x14ac:dyDescent="0.25">
      <c r="C23" s="43" t="s">
        <v>83</v>
      </c>
      <c r="D23" s="63" t="s">
        <v>110</v>
      </c>
      <c r="E23" s="363" t="s">
        <v>84</v>
      </c>
      <c r="F23" s="363"/>
      <c r="G23" s="363"/>
      <c r="H23" s="363"/>
    </row>
    <row r="24" spans="2:10" x14ac:dyDescent="0.25">
      <c r="C24" s="43" t="s">
        <v>85</v>
      </c>
      <c r="D24" s="63" t="s">
        <v>88</v>
      </c>
      <c r="E24" s="342" t="s">
        <v>86</v>
      </c>
      <c r="F24" s="342"/>
      <c r="G24" s="342"/>
      <c r="H24" s="342"/>
    </row>
    <row r="25" spans="2:10" x14ac:dyDescent="0.25">
      <c r="D25"/>
    </row>
    <row r="26" spans="2:10" x14ac:dyDescent="0.25">
      <c r="B26" t="s">
        <v>89</v>
      </c>
      <c r="D26"/>
    </row>
    <row r="28" spans="2:10" x14ac:dyDescent="0.25">
      <c r="B28" s="40" t="s">
        <v>164</v>
      </c>
    </row>
    <row r="29" spans="2:10" x14ac:dyDescent="0.25">
      <c r="B29" s="157" t="s">
        <v>162</v>
      </c>
    </row>
    <row r="30" spans="2:10" x14ac:dyDescent="0.25">
      <c r="B30" s="292" t="s">
        <v>197</v>
      </c>
      <c r="D30" s="214"/>
    </row>
    <row r="31" spans="2:10" x14ac:dyDescent="0.25">
      <c r="B31" s="167" t="s">
        <v>163</v>
      </c>
    </row>
    <row r="32" spans="2:10" x14ac:dyDescent="0.25">
      <c r="B32" s="168" t="s">
        <v>166</v>
      </c>
    </row>
  </sheetData>
  <mergeCells count="9">
    <mergeCell ref="E22:H22"/>
    <mergeCell ref="E23:H23"/>
    <mergeCell ref="E24:H24"/>
    <mergeCell ref="B13:J14"/>
    <mergeCell ref="B16:J16"/>
    <mergeCell ref="E18:H18"/>
    <mergeCell ref="E19:H19"/>
    <mergeCell ref="E20:H20"/>
    <mergeCell ref="E21:H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30"/>
  <sheetViews>
    <sheetView showGridLines="0" workbookViewId="0">
      <pane ySplit="3" topLeftCell="A4" activePane="bottomLeft" state="frozen"/>
      <selection pane="bottomLeft" activeCell="R17" sqref="R17:W20"/>
    </sheetView>
  </sheetViews>
  <sheetFormatPr defaultRowHeight="15" x14ac:dyDescent="0.25"/>
  <cols>
    <col min="1" max="2" width="2" bestFit="1" customWidth="1"/>
    <col min="3" max="3" width="29.140625" bestFit="1" customWidth="1"/>
    <col min="4" max="4" width="10" bestFit="1" customWidth="1"/>
    <col min="5" max="5" width="8.7109375" customWidth="1"/>
    <col min="6" max="6" width="9" customWidth="1"/>
    <col min="7" max="7" width="9.85546875" customWidth="1"/>
    <col min="8" max="8" width="7.140625" bestFit="1" customWidth="1"/>
    <col min="9" max="9" width="4.7109375" customWidth="1"/>
    <col min="10" max="10" width="27.28515625" customWidth="1"/>
    <col min="11" max="11" width="11" customWidth="1"/>
    <col min="12" max="12" width="7.5703125" bestFit="1" customWidth="1"/>
    <col min="13" max="13" width="7.42578125" bestFit="1" customWidth="1"/>
    <col min="14" max="14" width="8.28515625" bestFit="1" customWidth="1"/>
    <col min="15" max="15" width="5.28515625" customWidth="1"/>
    <col min="16" max="16" width="2" bestFit="1" customWidth="1"/>
    <col min="17" max="17" width="27.42578125" bestFit="1" customWidth="1"/>
    <col min="18" max="18" width="6.7109375" bestFit="1" customWidth="1"/>
    <col min="19" max="19" width="7" bestFit="1" customWidth="1"/>
    <col min="20" max="27" width="7" customWidth="1"/>
    <col min="28" max="28" width="6" bestFit="1" customWidth="1"/>
    <col min="29" max="29" width="7" bestFit="1" customWidth="1"/>
    <col min="30" max="30" width="5" bestFit="1" customWidth="1"/>
    <col min="31" max="31" width="6" bestFit="1" customWidth="1"/>
  </cols>
  <sheetData>
    <row r="1" spans="1:31" s="8" customFormat="1" ht="19.5" customHeight="1" x14ac:dyDescent="0.25">
      <c r="A1" s="9">
        <v>1</v>
      </c>
      <c r="C1" s="326" t="str">
        <f>VLOOKUP(A1,LANDCOVER,2)</f>
        <v>BEAVER CREEK</v>
      </c>
      <c r="D1" s="326"/>
      <c r="E1" s="326"/>
      <c r="F1" s="326"/>
      <c r="G1" s="326"/>
      <c r="H1" s="326"/>
    </row>
    <row r="2" spans="1:31" s="15" customFormat="1" ht="15.75" x14ac:dyDescent="0.25">
      <c r="A2" s="14"/>
      <c r="C2" s="17" t="s">
        <v>98</v>
      </c>
      <c r="D2" s="18" t="s">
        <v>32</v>
      </c>
      <c r="E2" s="314" t="s">
        <v>26</v>
      </c>
      <c r="F2" s="314"/>
      <c r="G2" s="314"/>
      <c r="H2" s="314"/>
    </row>
    <row r="3" spans="1:31" s="21" customFormat="1" ht="15.75" customHeight="1" x14ac:dyDescent="0.25">
      <c r="A3" s="20"/>
      <c r="C3" s="65" t="str">
        <f ca="1">INDIRECT("Summary!I"&amp;(12+A1))</f>
        <v>5 yr / 24 hour                               </v>
      </c>
      <c r="D3" s="22">
        <f ca="1">VLOOKUP($C$3,Events!$B$3:$D$9,2,FALSE)</f>
        <v>4.38</v>
      </c>
      <c r="E3" s="313" t="str">
        <f ca="1">VLOOKUP($C$3,Events!$B$3:$D$9,3,FALSE)</f>
        <v>Site ID: 31-4782</v>
      </c>
      <c r="F3" s="313"/>
      <c r="G3" s="313"/>
      <c r="H3" s="313"/>
    </row>
    <row r="4" spans="1:31" s="33" customFormat="1" x14ac:dyDescent="0.25">
      <c r="A4" s="32"/>
      <c r="C4" s="34"/>
      <c r="D4" s="327" t="s">
        <v>42</v>
      </c>
      <c r="E4" s="327"/>
      <c r="F4" s="327"/>
      <c r="G4" s="327"/>
      <c r="H4" s="327"/>
      <c r="J4" s="324" t="s">
        <v>45</v>
      </c>
      <c r="K4" s="324"/>
      <c r="L4" s="324"/>
      <c r="M4" s="324"/>
      <c r="N4" s="324"/>
      <c r="Q4" s="190" t="s">
        <v>171</v>
      </c>
      <c r="V4" s="325" t="s">
        <v>173</v>
      </c>
      <c r="W4" s="325"/>
      <c r="X4" s="325"/>
      <c r="Y4" s="325"/>
    </row>
    <row r="5" spans="1:31" s="15" customFormat="1" ht="25.5" x14ac:dyDescent="0.25">
      <c r="A5" s="14"/>
      <c r="C5" s="16"/>
      <c r="D5" s="3" t="s">
        <v>23</v>
      </c>
      <c r="E5" s="3" t="s">
        <v>31</v>
      </c>
      <c r="F5" s="19" t="s">
        <v>29</v>
      </c>
      <c r="G5" s="19" t="s">
        <v>95</v>
      </c>
      <c r="H5" s="19" t="s">
        <v>96</v>
      </c>
      <c r="J5" s="16" t="s">
        <v>23</v>
      </c>
      <c r="K5" s="3" t="s">
        <v>23</v>
      </c>
      <c r="L5" s="3" t="s">
        <v>31</v>
      </c>
      <c r="M5" s="19" t="s">
        <v>30</v>
      </c>
      <c r="N5" s="19" t="s">
        <v>96</v>
      </c>
      <c r="Q5" s="186" t="s">
        <v>165</v>
      </c>
      <c r="R5" s="178" t="s">
        <v>167</v>
      </c>
      <c r="S5" s="184" t="s">
        <v>20</v>
      </c>
      <c r="T5" s="184" t="s">
        <v>168</v>
      </c>
      <c r="U5" s="184" t="s">
        <v>19</v>
      </c>
      <c r="V5" s="209" t="s">
        <v>167</v>
      </c>
      <c r="W5" s="209" t="s">
        <v>20</v>
      </c>
      <c r="X5" s="209" t="s">
        <v>168</v>
      </c>
      <c r="Y5" s="209" t="s">
        <v>19</v>
      </c>
      <c r="Z5" s="184"/>
      <c r="AA5" s="184"/>
      <c r="AB5" s="184" t="s">
        <v>169</v>
      </c>
      <c r="AC5" s="175" t="s">
        <v>170</v>
      </c>
      <c r="AD5" s="184" t="s">
        <v>168</v>
      </c>
      <c r="AE5" s="175" t="s">
        <v>172</v>
      </c>
    </row>
    <row r="6" spans="1:31" s="15" customFormat="1" x14ac:dyDescent="0.2">
      <c r="A6" s="25"/>
      <c r="C6" s="5" t="s">
        <v>118</v>
      </c>
      <c r="D6" s="28">
        <f>VLOOKUP($A$1,LANDCOVER,3)</f>
        <v>1812.2967305926368</v>
      </c>
      <c r="E6" s="198">
        <f>D6/$D$15</f>
        <v>0.36773899852972275</v>
      </c>
      <c r="F6" s="191">
        <f t="shared" ref="F6:F14" ca="1" si="0">IF(D6&gt;0,IF($D$3&lt;0.05*S6,0,($D$3-T6)^2/($D$3-A6+S6)),0)</f>
        <v>1.5211144620962875</v>
      </c>
      <c r="G6" s="28">
        <f ca="1">D6*$F6*43560/12/1000</f>
        <v>10006.860082446834</v>
      </c>
      <c r="H6" s="28">
        <f ca="1">IFERROR(($Y6/$U6-1)*G6,0)</f>
        <v>1776.7832420296052</v>
      </c>
      <c r="J6" s="5" t="s">
        <v>118</v>
      </c>
      <c r="K6" s="28">
        <f>VLOOKUP($A$1,LANDCOVERPOT,3)</f>
        <v>2478.2803826166487</v>
      </c>
      <c r="L6" s="29">
        <f>K6/$K$15</f>
        <v>0.50287589807728761</v>
      </c>
      <c r="M6" s="28">
        <f ca="1">K6*$F6*43560/12/1000</f>
        <v>13684.18571599357</v>
      </c>
      <c r="N6" s="28">
        <f ca="1">IFERROR(($Y6/$U6-1)*M6,0)</f>
        <v>2429.716380630472</v>
      </c>
      <c r="P6" s="176">
        <v>1</v>
      </c>
      <c r="Q6" s="192" t="str">
        <f t="shared" ref="Q6:Q14" si="1">C6</f>
        <v>Tree Canopy</v>
      </c>
      <c r="R6" s="193">
        <f t="shared" ref="R6:R14" si="2">VLOOKUP($A$1,CompositeCN,$P6+1)</f>
        <v>71.928946615834391</v>
      </c>
      <c r="S6" s="194">
        <f>IFERROR(1000/R6-10,0)</f>
        <v>3.9026087138590277</v>
      </c>
      <c r="T6" s="194">
        <f>0.2*S6+ModelCi</f>
        <v>0.83052174277180568</v>
      </c>
      <c r="U6" s="194">
        <f t="shared" ref="U6:U14" ca="1" si="3">IF(D6&gt;0,IF($D$3&lt;0.05*S6,0,($D$3-T6)^2/($D$3-A6+S6)),0)</f>
        <v>1.5211144620962875</v>
      </c>
      <c r="V6" s="203">
        <f>R6-CNadj</f>
        <v>73.928946615834391</v>
      </c>
      <c r="W6" s="204">
        <f>IFERROR(1000/V6-10,0)</f>
        <v>3.5265014013579368</v>
      </c>
      <c r="X6" s="204">
        <f t="shared" ref="X6:X7" si="4">0.2*W6</f>
        <v>0.70530028027158742</v>
      </c>
      <c r="Y6" s="205">
        <f ca="1">IF(D6&gt;0,IF($D$3&lt;0.05*W6,0,($D$3-X6)^2/($D$3-E6+W6)),0)</f>
        <v>1.7911982509365438</v>
      </c>
      <c r="Z6" s="202"/>
      <c r="AA6" s="202"/>
      <c r="AB6" s="187">
        <f>0.05*S6</f>
        <v>0.19513043569295141</v>
      </c>
      <c r="AC6" s="188">
        <f>1.33*S6^1.15</f>
        <v>6.366634266376944</v>
      </c>
      <c r="AD6" s="189">
        <f>0.05+ModelCi</f>
        <v>0.1</v>
      </c>
      <c r="AE6" s="188">
        <f>AD6*S6</f>
        <v>0.39026087138590282</v>
      </c>
    </row>
    <row r="7" spans="1:31" s="15" customFormat="1" x14ac:dyDescent="0.2">
      <c r="A7" s="25"/>
      <c r="C7" s="5" t="s">
        <v>119</v>
      </c>
      <c r="D7" s="28">
        <f>VLOOKUP($A$1,LANDCOVER,4)</f>
        <v>18.881493777085883</v>
      </c>
      <c r="E7" s="198">
        <f>D7/$D$15</f>
        <v>3.831305047965397E-3</v>
      </c>
      <c r="F7" s="191">
        <f t="shared" ca="1" si="0"/>
        <v>3.7597312948807056</v>
      </c>
      <c r="G7" s="28">
        <f t="shared" ref="G7:G14" ca="1" si="5">D7*$F7*43560/12/1000</f>
        <v>257.69131526353249</v>
      </c>
      <c r="H7" s="28">
        <f ca="1">($Y7/$U7-1)*G7</f>
        <v>24.062514499618377</v>
      </c>
      <c r="J7" s="5" t="s">
        <v>119</v>
      </c>
      <c r="K7" s="28">
        <f>VLOOKUP($A$1,LANDCOVERPOT,4)</f>
        <v>135.39912243914841</v>
      </c>
      <c r="L7" s="29">
        <f>K7/$K$15</f>
        <v>2.7474274409408375E-2</v>
      </c>
      <c r="M7" s="28">
        <f t="shared" ref="M7:M14" ca="1" si="6">K7*$F7*43560/12/1000</f>
        <v>1847.9034740998779</v>
      </c>
      <c r="N7" s="28">
        <f ca="1">($Y7/$U7-1)*M7</f>
        <v>172.55220298732368</v>
      </c>
      <c r="P7" s="176">
        <v>2</v>
      </c>
      <c r="Q7" s="195" t="str">
        <f t="shared" si="1"/>
        <v>Tree Canopy over Impervious</v>
      </c>
      <c r="R7" s="196">
        <f t="shared" si="2"/>
        <v>96</v>
      </c>
      <c r="S7" s="197">
        <f t="shared" ref="S7:S14" si="7">IFERROR(1000/R7-10,0)</f>
        <v>0.41666666666666607</v>
      </c>
      <c r="T7" s="197">
        <f>0.2*S7+ModelCi</f>
        <v>0.13333333333333322</v>
      </c>
      <c r="U7" s="197">
        <f t="shared" ca="1" si="3"/>
        <v>3.7597312948807056</v>
      </c>
      <c r="V7" s="206">
        <f>R7-CNadj</f>
        <v>98</v>
      </c>
      <c r="W7" s="207">
        <f>IFERROR(1000/V7-10,0)</f>
        <v>0.20408163265306101</v>
      </c>
      <c r="X7" s="207">
        <f t="shared" si="4"/>
        <v>4.0816326530612207E-2</v>
      </c>
      <c r="Y7" s="208">
        <f ca="1">IF(D7&gt;0,IF($D$3&lt;0.05*W7,0,($D$3-X7)^2/($D$3-E7+W7)),0)</f>
        <v>4.1108047825735934</v>
      </c>
      <c r="Z7" s="185"/>
      <c r="AA7" s="185"/>
      <c r="AB7" s="187">
        <f t="shared" ref="AB7:AB14" si="8">0.05*S7</f>
        <v>2.0833333333333304E-2</v>
      </c>
      <c r="AC7" s="188">
        <f>1.33*S7^1.15</f>
        <v>0.48596916396643658</v>
      </c>
      <c r="AD7" s="189">
        <f>0.05+ModelCi</f>
        <v>0.1</v>
      </c>
      <c r="AE7" s="188">
        <f t="shared" ref="AE7:AE14" si="9">AD7*S7</f>
        <v>4.1666666666666609E-2</v>
      </c>
    </row>
    <row r="8" spans="1:31" s="15" customFormat="1" x14ac:dyDescent="0.2">
      <c r="A8" s="25"/>
      <c r="C8" s="5" t="s">
        <v>2</v>
      </c>
      <c r="D8" s="28">
        <f>VLOOKUP($A$1,LANDCOVER,5)</f>
        <v>1228.1323083590798</v>
      </c>
      <c r="E8" s="198">
        <f>D8/$D$15</f>
        <v>0.24920430386158507</v>
      </c>
      <c r="F8" s="191">
        <f t="shared" ca="1" si="0"/>
        <v>1.5885567785323049</v>
      </c>
      <c r="G8" s="28">
        <f t="shared" ca="1" si="5"/>
        <v>7081.9771892633853</v>
      </c>
      <c r="H8" s="199"/>
      <c r="J8" s="5" t="s">
        <v>2</v>
      </c>
      <c r="K8" s="28">
        <f>VLOOKUP($A$1,LANDCOVERPOT,5)</f>
        <v>562.1486563350677</v>
      </c>
      <c r="L8" s="29">
        <f>K8/$K$15</f>
        <v>0.1140674043140201</v>
      </c>
      <c r="M8" s="28">
        <f t="shared" ca="1" si="6"/>
        <v>3241.6083625869533</v>
      </c>
      <c r="N8" s="199"/>
      <c r="P8" s="176">
        <v>3</v>
      </c>
      <c r="Q8" s="175" t="str">
        <f t="shared" si="1"/>
        <v>Pervious</v>
      </c>
      <c r="R8" s="177">
        <f t="shared" si="2"/>
        <v>72.273947540352395</v>
      </c>
      <c r="S8" s="185">
        <f t="shared" si="7"/>
        <v>3.8362443734192659</v>
      </c>
      <c r="T8" s="185">
        <f t="shared" ref="T8:T14" si="10">0.2*S8</f>
        <v>0.76724887468385328</v>
      </c>
      <c r="U8" s="185">
        <f t="shared" ca="1" si="3"/>
        <v>1.5885567785323049</v>
      </c>
      <c r="V8" s="185"/>
      <c r="W8" s="185"/>
      <c r="X8" s="185"/>
      <c r="Y8" s="185"/>
      <c r="Z8" s="185"/>
      <c r="AA8" s="185"/>
      <c r="AB8" s="187">
        <f t="shared" si="8"/>
        <v>0.19181221867096332</v>
      </c>
      <c r="AC8" s="188">
        <f t="shared" ref="AC8:AC14" si="11">1.33*S8^1.15</f>
        <v>6.242288622318247</v>
      </c>
      <c r="AD8" s="184">
        <f>0.05</f>
        <v>0.05</v>
      </c>
      <c r="AE8" s="188">
        <f t="shared" si="9"/>
        <v>0.19181221867096332</v>
      </c>
    </row>
    <row r="9" spans="1:31" s="15" customFormat="1" x14ac:dyDescent="0.2">
      <c r="A9" s="25"/>
      <c r="C9" s="5" t="s">
        <v>12</v>
      </c>
      <c r="D9" s="28">
        <f>VLOOKUP($A$1,LANDCOVER,6)</f>
        <v>32.831525182140204</v>
      </c>
      <c r="E9" s="198">
        <f>D9/$D$15</f>
        <v>6.6619510960191902E-3</v>
      </c>
      <c r="F9" s="191">
        <f t="shared" ca="1" si="0"/>
        <v>4.38</v>
      </c>
      <c r="G9" s="28">
        <f t="shared" ca="1" si="5"/>
        <v>522.00155148091994</v>
      </c>
      <c r="H9" s="200"/>
      <c r="J9" s="5" t="s">
        <v>12</v>
      </c>
      <c r="K9" s="28">
        <f>VLOOKUP($A$1,LANDCOVERPOT,6)</f>
        <v>32.831525182140204</v>
      </c>
      <c r="L9" s="29">
        <f>K9/$K$15</f>
        <v>6.6619510960191902E-3</v>
      </c>
      <c r="M9" s="28">
        <f t="shared" ca="1" si="6"/>
        <v>522.00155148091994</v>
      </c>
      <c r="N9" s="200"/>
      <c r="P9" s="176">
        <v>4</v>
      </c>
      <c r="Q9" s="175" t="str">
        <f t="shared" si="1"/>
        <v>Water</v>
      </c>
      <c r="R9" s="177">
        <f t="shared" si="2"/>
        <v>100</v>
      </c>
      <c r="S9" s="185">
        <f t="shared" si="7"/>
        <v>0</v>
      </c>
      <c r="T9" s="185">
        <f t="shared" si="10"/>
        <v>0</v>
      </c>
      <c r="U9" s="185">
        <f t="shared" ca="1" si="3"/>
        <v>4.38</v>
      </c>
      <c r="V9" s="185"/>
      <c r="W9" s="185"/>
      <c r="X9" s="185"/>
      <c r="Y9" s="185"/>
      <c r="Z9" s="185"/>
      <c r="AA9" s="185"/>
      <c r="AB9" s="187">
        <f t="shared" si="8"/>
        <v>0</v>
      </c>
      <c r="AC9" s="188">
        <f t="shared" si="11"/>
        <v>0</v>
      </c>
      <c r="AD9" s="184"/>
      <c r="AE9" s="188">
        <f t="shared" si="9"/>
        <v>0</v>
      </c>
    </row>
    <row r="10" spans="1:31" s="15" customFormat="1" x14ac:dyDescent="0.2">
      <c r="A10" s="25"/>
      <c r="C10" s="5" t="s">
        <v>4</v>
      </c>
      <c r="D10" s="28">
        <f>VLOOKUP($A$1,LANDCOVER,7)</f>
        <v>1570.3323560257716</v>
      </c>
      <c r="E10" s="198">
        <f>D10/$D$15</f>
        <v>0.31864122371114068</v>
      </c>
      <c r="F10" s="191">
        <f t="shared" ca="1" si="0"/>
        <v>4.1073690350505805</v>
      </c>
      <c r="G10" s="28">
        <f t="shared" ca="1" si="5"/>
        <v>23413.262212778151</v>
      </c>
      <c r="H10" s="200"/>
      <c r="J10" s="5" t="s">
        <v>4</v>
      </c>
      <c r="K10" s="28">
        <f>VLOOKUP($A$1,LANDCOVERPOT,7)</f>
        <v>1453.8147273637092</v>
      </c>
      <c r="L10" s="29">
        <f>K10/$K$15</f>
        <v>0.29499825434969773</v>
      </c>
      <c r="M10" s="28">
        <f t="shared" ca="1" si="6"/>
        <v>21676.013545763348</v>
      </c>
      <c r="N10" s="200"/>
      <c r="P10" s="176">
        <v>5</v>
      </c>
      <c r="Q10" s="175" t="str">
        <f t="shared" si="1"/>
        <v>Impervious</v>
      </c>
      <c r="R10" s="177">
        <f t="shared" si="2"/>
        <v>98</v>
      </c>
      <c r="S10" s="185">
        <f t="shared" si="7"/>
        <v>0.20408163265306101</v>
      </c>
      <c r="T10" s="185">
        <f t="shared" si="10"/>
        <v>4.0816326530612207E-2</v>
      </c>
      <c r="U10" s="185">
        <f t="shared" ca="1" si="3"/>
        <v>4.1073690350505805</v>
      </c>
      <c r="V10" s="185"/>
      <c r="W10" s="185"/>
      <c r="X10" s="185"/>
      <c r="Y10" s="185"/>
      <c r="Z10" s="185"/>
      <c r="AA10" s="185"/>
      <c r="AB10" s="187">
        <f t="shared" si="8"/>
        <v>1.0204081632653052E-2</v>
      </c>
      <c r="AC10" s="188">
        <f t="shared" si="11"/>
        <v>0.2138583190676947</v>
      </c>
      <c r="AD10" s="184">
        <f>0.05</f>
        <v>0.05</v>
      </c>
      <c r="AE10" s="188">
        <f t="shared" si="9"/>
        <v>1.0204081632653052E-2</v>
      </c>
    </row>
    <row r="11" spans="1:31" s="15" customFormat="1" x14ac:dyDescent="0.2">
      <c r="A11" s="25"/>
      <c r="C11" s="5" t="s">
        <v>9</v>
      </c>
      <c r="D11" s="28">
        <f>VLOOKUP($A$1,LANDCOVER,8)</f>
        <v>265.7402650570254</v>
      </c>
      <c r="E11" s="198">
        <f t="shared" ref="E11:E14" si="12">D11/$D$15</f>
        <v>5.3922217753566933E-2</v>
      </c>
      <c r="F11" s="191">
        <f t="shared" ca="1" si="0"/>
        <v>3.3847999962624526</v>
      </c>
      <c r="G11" s="28">
        <f t="shared" ca="1" si="5"/>
        <v>3265.1038628636434</v>
      </c>
      <c r="H11" s="200"/>
      <c r="J11" s="5" t="s">
        <v>9</v>
      </c>
      <c r="K11" s="28">
        <f>VLOOKUP($A$1,LANDCOVERPOT,8)</f>
        <v>265.7402650570254</v>
      </c>
      <c r="L11" s="29"/>
      <c r="M11" s="28">
        <f t="shared" ca="1" si="6"/>
        <v>3265.1038628636434</v>
      </c>
      <c r="N11" s="200"/>
      <c r="P11" s="176">
        <v>6</v>
      </c>
      <c r="Q11" s="175" t="str">
        <f t="shared" si="1"/>
        <v>Bare Earth</v>
      </c>
      <c r="R11" s="177">
        <f t="shared" si="2"/>
        <v>92.129719899649842</v>
      </c>
      <c r="S11" s="185">
        <f t="shared" si="7"/>
        <v>0.85426072161325095</v>
      </c>
      <c r="T11" s="185">
        <f t="shared" si="10"/>
        <v>0.1708521443226502</v>
      </c>
      <c r="U11" s="185">
        <f t="shared" ca="1" si="3"/>
        <v>3.3847999962624526</v>
      </c>
      <c r="V11" s="185"/>
      <c r="W11" s="185"/>
      <c r="X11" s="185"/>
      <c r="Y11" s="185"/>
      <c r="Z11" s="185"/>
      <c r="AA11" s="185"/>
      <c r="AB11" s="187">
        <f t="shared" si="8"/>
        <v>4.2713036080662549E-2</v>
      </c>
      <c r="AC11" s="188">
        <f t="shared" si="11"/>
        <v>1.1096362728445122</v>
      </c>
      <c r="AD11" s="184">
        <f>0.05</f>
        <v>0.05</v>
      </c>
      <c r="AE11" s="188">
        <f t="shared" si="9"/>
        <v>4.2713036080662549E-2</v>
      </c>
    </row>
    <row r="12" spans="1:31" s="15" customFormat="1" x14ac:dyDescent="0.2">
      <c r="A12" s="25"/>
      <c r="C12" s="5" t="s">
        <v>120</v>
      </c>
      <c r="D12" s="28">
        <f>VLOOKUP($A$1,LANDCOVER,9)</f>
        <v>0</v>
      </c>
      <c r="E12" s="198">
        <f t="shared" si="12"/>
        <v>0</v>
      </c>
      <c r="F12" s="191">
        <f t="shared" si="0"/>
        <v>0</v>
      </c>
      <c r="G12" s="28">
        <f t="shared" si="5"/>
        <v>0</v>
      </c>
      <c r="H12" s="28">
        <f>IFERROR(($Y12/$U12-1)*G12,0)</f>
        <v>0</v>
      </c>
      <c r="J12" s="5" t="s">
        <v>120</v>
      </c>
      <c r="K12" s="28">
        <f>VLOOKUP($A$1,LANDCOVERPOT,9)</f>
        <v>0</v>
      </c>
      <c r="L12" s="29"/>
      <c r="M12" s="28">
        <f t="shared" si="6"/>
        <v>0</v>
      </c>
      <c r="N12" s="28">
        <f>IFERROR(($Y12/$U12-1)*M12,0)</f>
        <v>0</v>
      </c>
      <c r="P12" s="176">
        <v>7</v>
      </c>
      <c r="Q12" s="175" t="str">
        <f t="shared" si="1"/>
        <v>Forested Open Space</v>
      </c>
      <c r="R12" s="177" t="str">
        <f t="shared" si="2"/>
        <v/>
      </c>
      <c r="S12" s="185">
        <f t="shared" si="7"/>
        <v>0</v>
      </c>
      <c r="T12" s="185">
        <f t="shared" si="10"/>
        <v>0</v>
      </c>
      <c r="U12" s="185">
        <f t="shared" si="3"/>
        <v>0</v>
      </c>
      <c r="V12" s="185"/>
      <c r="W12" s="185"/>
      <c r="X12" s="185"/>
      <c r="Y12" s="185"/>
      <c r="Z12" s="185"/>
      <c r="AA12" s="185"/>
      <c r="AB12" s="187">
        <f t="shared" si="8"/>
        <v>0</v>
      </c>
      <c r="AC12" s="188">
        <f t="shared" si="11"/>
        <v>0</v>
      </c>
      <c r="AD12" s="184">
        <f>0.05</f>
        <v>0.05</v>
      </c>
      <c r="AE12" s="188">
        <f t="shared" si="9"/>
        <v>0</v>
      </c>
    </row>
    <row r="13" spans="1:31" s="15" customFormat="1" x14ac:dyDescent="0.2">
      <c r="A13" s="25"/>
      <c r="C13" s="5" t="s">
        <v>121</v>
      </c>
      <c r="D13" s="28">
        <f>VLOOKUP($A$1,LANDCOVER,10)</f>
        <v>0</v>
      </c>
      <c r="E13" s="198">
        <f t="shared" si="12"/>
        <v>0</v>
      </c>
      <c r="F13" s="191">
        <f t="shared" si="0"/>
        <v>0</v>
      </c>
      <c r="G13" s="28">
        <f t="shared" si="5"/>
        <v>0</v>
      </c>
      <c r="H13" s="28">
        <f>IFERROR(($Y13/$U13-1)*G13,0)</f>
        <v>0</v>
      </c>
      <c r="J13" s="5" t="s">
        <v>121</v>
      </c>
      <c r="K13" s="28">
        <f>VLOOKUP($A$1,LANDCOVERPOT,10)</f>
        <v>0</v>
      </c>
      <c r="L13" s="29">
        <f>K13/$K$15</f>
        <v>0</v>
      </c>
      <c r="M13" s="28">
        <f t="shared" si="6"/>
        <v>0</v>
      </c>
      <c r="N13" s="28">
        <f>IFERROR(($Y13/$U13-1)*M13,0)</f>
        <v>0</v>
      </c>
      <c r="P13" s="176">
        <v>8</v>
      </c>
      <c r="Q13" s="175" t="str">
        <f t="shared" si="1"/>
        <v>Forested Wetlands</v>
      </c>
      <c r="R13" s="177" t="str">
        <f t="shared" si="2"/>
        <v/>
      </c>
      <c r="S13" s="185">
        <f t="shared" si="7"/>
        <v>0</v>
      </c>
      <c r="T13" s="185">
        <f t="shared" si="10"/>
        <v>0</v>
      </c>
      <c r="U13" s="185">
        <f t="shared" si="3"/>
        <v>0</v>
      </c>
      <c r="V13" s="185"/>
      <c r="W13" s="185"/>
      <c r="X13" s="185"/>
      <c r="Y13" s="185"/>
      <c r="Z13" s="185"/>
      <c r="AA13" s="185"/>
      <c r="AB13" s="187">
        <f t="shared" si="8"/>
        <v>0</v>
      </c>
      <c r="AC13" s="188">
        <f t="shared" si="11"/>
        <v>0</v>
      </c>
      <c r="AD13" s="184">
        <f>0.05</f>
        <v>0.05</v>
      </c>
      <c r="AE13" s="188">
        <f t="shared" si="9"/>
        <v>0</v>
      </c>
    </row>
    <row r="14" spans="1:31" s="15" customFormat="1" x14ac:dyDescent="0.2">
      <c r="A14" s="25"/>
      <c r="C14" s="5" t="s">
        <v>7</v>
      </c>
      <c r="D14" s="28">
        <f>VLOOKUP($A$1,LANDCOVER,11)</f>
        <v>0</v>
      </c>
      <c r="E14" s="198">
        <f t="shared" si="12"/>
        <v>0</v>
      </c>
      <c r="F14" s="191">
        <f t="shared" si="0"/>
        <v>0</v>
      </c>
      <c r="G14" s="28">
        <f t="shared" si="5"/>
        <v>0</v>
      </c>
      <c r="H14" s="201"/>
      <c r="J14" s="5" t="s">
        <v>7</v>
      </c>
      <c r="K14" s="28">
        <f>VLOOKUP($A$1,LANDCOVERPOT,11)</f>
        <v>0</v>
      </c>
      <c r="L14" s="29">
        <f>K14/$K$15</f>
        <v>0</v>
      </c>
      <c r="M14" s="28">
        <f t="shared" si="6"/>
        <v>0</v>
      </c>
      <c r="N14" s="201"/>
      <c r="P14" s="176">
        <v>9</v>
      </c>
      <c r="Q14" s="175" t="str">
        <f t="shared" si="1"/>
        <v>Wetlands</v>
      </c>
      <c r="R14" s="177" t="str">
        <f t="shared" si="2"/>
        <v/>
      </c>
      <c r="S14" s="185">
        <f t="shared" si="7"/>
        <v>0</v>
      </c>
      <c r="T14" s="185">
        <f t="shared" si="10"/>
        <v>0</v>
      </c>
      <c r="U14" s="185">
        <f t="shared" si="3"/>
        <v>0</v>
      </c>
      <c r="V14" s="185"/>
      <c r="W14" s="185"/>
      <c r="X14" s="185"/>
      <c r="Y14" s="185"/>
      <c r="Z14" s="185"/>
      <c r="AA14" s="185"/>
      <c r="AB14" s="187">
        <f t="shared" si="8"/>
        <v>0</v>
      </c>
      <c r="AC14" s="188">
        <f t="shared" si="11"/>
        <v>0</v>
      </c>
      <c r="AD14" s="184">
        <f>0.05</f>
        <v>0.05</v>
      </c>
      <c r="AE14" s="188">
        <f t="shared" si="9"/>
        <v>0</v>
      </c>
    </row>
    <row r="15" spans="1:31" x14ac:dyDescent="0.25">
      <c r="C15" s="30" t="s">
        <v>38</v>
      </c>
      <c r="D15" s="26">
        <f>SUM(D6:D14)</f>
        <v>4928.2146789937397</v>
      </c>
      <c r="E15" s="27"/>
      <c r="F15" s="27"/>
      <c r="G15" s="26">
        <f ca="1">SUM(G6:G14)</f>
        <v>44546.896214096465</v>
      </c>
      <c r="H15" s="26">
        <f ca="1">SUM(H6:H14)</f>
        <v>1800.8457565292235</v>
      </c>
      <c r="J15" s="30" t="s">
        <v>38</v>
      </c>
      <c r="K15" s="26">
        <f>SUM(K6:K14)</f>
        <v>4928.2146789937397</v>
      </c>
      <c r="L15" s="26"/>
      <c r="M15" s="26">
        <f ca="1">SUM(M6:M14)</f>
        <v>44236.816512788311</v>
      </c>
      <c r="N15" s="26">
        <f ca="1">SUM(N6:N14)</f>
        <v>2602.2685836177957</v>
      </c>
      <c r="S15" s="183"/>
      <c r="T15" s="183"/>
      <c r="U15" s="183"/>
      <c r="V15" s="183"/>
      <c r="W15" s="183"/>
      <c r="X15" s="183"/>
      <c r="Y15" s="183"/>
      <c r="Z15" s="183"/>
      <c r="AA15" s="183"/>
    </row>
    <row r="16" spans="1:31" ht="16.5" thickBot="1" x14ac:dyDescent="0.3">
      <c r="C16" s="210"/>
      <c r="D16" s="211"/>
      <c r="E16" s="212"/>
      <c r="F16" s="212"/>
      <c r="G16" s="211"/>
      <c r="J16" s="210"/>
      <c r="K16" s="211"/>
      <c r="L16" s="211"/>
      <c r="M16" s="211"/>
      <c r="N16" s="213"/>
      <c r="Q16" s="261" t="s">
        <v>191</v>
      </c>
      <c r="R16" s="261" t="s">
        <v>18</v>
      </c>
      <c r="S16" s="262" t="s">
        <v>17</v>
      </c>
      <c r="T16" s="262" t="s">
        <v>21</v>
      </c>
      <c r="U16" s="261" t="s">
        <v>18</v>
      </c>
      <c r="V16" s="262" t="s">
        <v>17</v>
      </c>
      <c r="W16" s="262" t="s">
        <v>21</v>
      </c>
      <c r="X16" s="183"/>
      <c r="Y16" s="183"/>
      <c r="Z16" s="183"/>
      <c r="AA16" s="183"/>
    </row>
    <row r="17" spans="1:27" ht="15.75" customHeight="1" x14ac:dyDescent="0.25">
      <c r="C17" s="323" t="s">
        <v>176</v>
      </c>
      <c r="D17" s="323"/>
      <c r="E17" s="323"/>
      <c r="F17" s="323"/>
      <c r="G17" s="323"/>
      <c r="H17" s="323"/>
      <c r="J17" s="323" t="s">
        <v>176</v>
      </c>
      <c r="K17" s="323"/>
      <c r="L17" s="323"/>
      <c r="M17" s="323"/>
      <c r="N17" s="323"/>
      <c r="Q17" s="263" t="s">
        <v>118</v>
      </c>
      <c r="R17" s="264">
        <f ca="1">MAX(0,U8-U6)</f>
        <v>6.7442316436017391E-2</v>
      </c>
      <c r="S17" s="265">
        <f ca="1">U10-U6</f>
        <v>2.5862545729542932</v>
      </c>
      <c r="T17" s="269"/>
      <c r="U17" s="272">
        <f ca="1">(E23*D6)*(1-E24)*R17*LossCF</f>
        <v>0.19913676576732603</v>
      </c>
      <c r="V17" s="273">
        <f ca="1">(E23*D6)*(E24)*S17*LossCF</f>
        <v>5.0909517775107203</v>
      </c>
      <c r="W17" s="274"/>
      <c r="X17" s="183"/>
      <c r="Y17" s="183"/>
      <c r="Z17" s="183"/>
      <c r="AA17" s="183"/>
    </row>
    <row r="18" spans="1:27" ht="15" customHeight="1" thickBot="1" x14ac:dyDescent="0.3">
      <c r="C18" s="215" t="s">
        <v>40</v>
      </c>
      <c r="D18" s="216"/>
      <c r="E18" s="230"/>
      <c r="F18" s="330" t="s">
        <v>178</v>
      </c>
      <c r="G18" s="330"/>
      <c r="H18" s="217">
        <f>SUM(D6:D7,D12:D13)/SUM(D15,-D9)</f>
        <v>0.37406228824886711</v>
      </c>
      <c r="J18" s="215" t="s">
        <v>40</v>
      </c>
      <c r="K18" s="216"/>
      <c r="L18" s="216"/>
      <c r="M18" s="228" t="s">
        <v>43</v>
      </c>
      <c r="N18" s="217">
        <f>SUM(K6:K7,K12:K13)/SUM(K15,-K9)</f>
        <v>0.53390703504397963</v>
      </c>
      <c r="Q18" s="263" t="s">
        <v>119</v>
      </c>
      <c r="R18" s="267"/>
      <c r="S18" s="264">
        <f ca="1">U10-U7</f>
        <v>0.34763774016987492</v>
      </c>
      <c r="T18" s="270"/>
      <c r="U18" s="286"/>
      <c r="V18" s="275">
        <f ca="1">E23*D7*LossCF</f>
        <v>5.1271351234060035E-2</v>
      </c>
      <c r="W18" s="287"/>
    </row>
    <row r="19" spans="1:27" s="15" customFormat="1" ht="15.75" customHeight="1" x14ac:dyDescent="0.25">
      <c r="A19" s="4"/>
      <c r="C19" s="218" t="s">
        <v>41</v>
      </c>
      <c r="D19" s="219"/>
      <c r="E19" s="219"/>
      <c r="F19" s="332" t="s">
        <v>178</v>
      </c>
      <c r="G19" s="332"/>
      <c r="H19" s="220">
        <f>D10/SUM(D15,-D9)</f>
        <v>0.32077823260945232</v>
      </c>
      <c r="J19" s="218" t="s">
        <v>41</v>
      </c>
      <c r="K19" s="219"/>
      <c r="L19" s="219"/>
      <c r="M19" s="229" t="s">
        <v>177</v>
      </c>
      <c r="N19" s="220">
        <f>K10/SUM(K15,-K9)</f>
        <v>0.29697669859237741</v>
      </c>
      <c r="Q19" s="263" t="s">
        <v>120</v>
      </c>
      <c r="R19" s="266">
        <f ca="1">U8-U12</f>
        <v>1.5885567785323049</v>
      </c>
      <c r="S19" s="266">
        <f ca="1">U10-U12</f>
        <v>4.1073690350505805</v>
      </c>
      <c r="T19" s="271"/>
      <c r="U19" s="272">
        <f ca="1">E26*D12*(1-E27)*R19*LossCF</f>
        <v>0</v>
      </c>
      <c r="V19" s="273">
        <f ca="1">E26*D12*(E27)*R19*LossCF</f>
        <v>0</v>
      </c>
      <c r="W19" s="274"/>
    </row>
    <row r="20" spans="1:27" s="15" customFormat="1" ht="15.75" customHeight="1" thickBot="1" x14ac:dyDescent="0.3">
      <c r="A20" s="4"/>
      <c r="C20" s="221" t="s">
        <v>174</v>
      </c>
      <c r="D20" s="222"/>
      <c r="E20" s="33"/>
      <c r="F20" s="333">
        <v>0</v>
      </c>
      <c r="G20" s="333"/>
      <c r="H20" s="223">
        <f ca="1">H15/G15</f>
        <v>4.0425841294850128E-2</v>
      </c>
      <c r="J20" s="221" t="s">
        <v>174</v>
      </c>
      <c r="K20" s="222"/>
      <c r="L20" s="33"/>
      <c r="M20" s="227" t="s">
        <v>43</v>
      </c>
      <c r="N20" s="223">
        <f ca="1">N15/M15</f>
        <v>5.8825855673079734E-2</v>
      </c>
      <c r="Q20" s="263" t="s">
        <v>121</v>
      </c>
      <c r="R20" s="279"/>
      <c r="S20" s="280">
        <f ca="1">U10-U13</f>
        <v>4.1073690350505805</v>
      </c>
      <c r="T20" s="281">
        <f>U14-U13</f>
        <v>0</v>
      </c>
      <c r="U20" s="277"/>
      <c r="V20" s="275">
        <f ca="1">E26*D13*E27*S20*LossCF</f>
        <v>0</v>
      </c>
      <c r="W20" s="276">
        <f ca="1">E26*D13*(1-E27)*S20*LossCF</f>
        <v>0</v>
      </c>
    </row>
    <row r="21" spans="1:27" s="15" customFormat="1" ht="15.75" customHeight="1" x14ac:dyDescent="0.25">
      <c r="A21" s="141"/>
      <c r="C21" s="328" t="s">
        <v>175</v>
      </c>
      <c r="D21" s="329"/>
      <c r="E21" s="21"/>
      <c r="F21" s="331" t="str">
        <f ca="1">C3</f>
        <v>5 yr / 24 hour                               </v>
      </c>
      <c r="G21" s="331"/>
      <c r="H21" s="224">
        <f ca="1">H15*7.48052/1000</f>
        <v>13.471262698631989</v>
      </c>
      <c r="J21" s="328" t="s">
        <v>175</v>
      </c>
      <c r="K21" s="329"/>
      <c r="L21" s="225" t="s">
        <v>43</v>
      </c>
      <c r="M21" s="226" t="s">
        <v>43</v>
      </c>
      <c r="N21" s="224">
        <f ca="1">N15*7.48052/1000</f>
        <v>19.466322185124593</v>
      </c>
      <c r="O21" s="144"/>
      <c r="Q21" s="278">
        <f>43560/12/1000*7.48052/1000</f>
        <v>2.71542876E-2</v>
      </c>
      <c r="R21" s="282"/>
      <c r="S21" s="283"/>
      <c r="T21" s="283"/>
      <c r="U21" s="21"/>
      <c r="V21" s="21"/>
      <c r="W21" s="288"/>
    </row>
    <row r="22" spans="1:27" s="15" customFormat="1" ht="15.75" customHeight="1" x14ac:dyDescent="0.25">
      <c r="A22" s="141"/>
      <c r="C22" s="318" t="s">
        <v>186</v>
      </c>
      <c r="D22" s="318"/>
      <c r="E22" s="318"/>
      <c r="F22" s="318"/>
      <c r="G22" s="318"/>
      <c r="H22" s="318"/>
      <c r="J22" s="35"/>
      <c r="K22" s="35"/>
      <c r="L22" s="37"/>
      <c r="M22" s="142"/>
      <c r="N22" s="143"/>
      <c r="O22" s="144"/>
    </row>
    <row r="23" spans="1:27" s="15" customFormat="1" ht="15.75" customHeight="1" x14ac:dyDescent="0.25">
      <c r="A23" s="141"/>
      <c r="C23" s="309" t="s">
        <v>185</v>
      </c>
      <c r="D23" s="310"/>
      <c r="E23" s="251">
        <f ca="1">INDIRECT("Summary!j"&amp;(12+A1))</f>
        <v>0.1</v>
      </c>
      <c r="F23" s="321" t="s">
        <v>194</v>
      </c>
      <c r="G23" s="321"/>
      <c r="H23" s="322"/>
      <c r="J23" s="315" t="s">
        <v>183</v>
      </c>
      <c r="K23" s="316"/>
      <c r="L23" s="316"/>
      <c r="M23" s="316"/>
      <c r="N23" s="238">
        <f ca="1">INDIRECT("Summary!M"&amp;(12+A1))</f>
        <v>0.15984474679511251</v>
      </c>
      <c r="O23" s="144"/>
    </row>
    <row r="24" spans="1:27" s="15" customFormat="1" ht="15.75" customHeight="1" x14ac:dyDescent="0.25">
      <c r="A24" s="141"/>
      <c r="C24" s="338"/>
      <c r="D24" s="339"/>
      <c r="E24" s="284">
        <v>0.4</v>
      </c>
      <c r="F24" s="319" t="s">
        <v>46</v>
      </c>
      <c r="G24" s="319"/>
      <c r="H24" s="320"/>
      <c r="J24" s="239" t="s">
        <v>104</v>
      </c>
      <c r="K24" s="317" t="s">
        <v>44</v>
      </c>
      <c r="L24" s="317"/>
      <c r="M24" s="317"/>
      <c r="N24" s="240">
        <f ca="1">(N23/(N18-H18))*(N21-H21)</f>
        <v>5.9950594864926039</v>
      </c>
      <c r="O24" s="144"/>
    </row>
    <row r="25" spans="1:27" s="15" customFormat="1" ht="15.75" customHeight="1" x14ac:dyDescent="0.25">
      <c r="A25" s="141"/>
      <c r="C25" s="311" t="s">
        <v>187</v>
      </c>
      <c r="D25" s="312"/>
      <c r="E25" s="268">
        <f ca="1">SUM(U17:W18)</f>
        <v>5.3413598945121068</v>
      </c>
      <c r="F25" s="253" t="s">
        <v>44</v>
      </c>
      <c r="G25" s="253"/>
      <c r="H25" s="254"/>
      <c r="J25" s="241"/>
      <c r="K25" s="242"/>
      <c r="L25" s="243"/>
      <c r="M25" s="244"/>
      <c r="N25" s="245"/>
      <c r="O25" s="144"/>
      <c r="Q25" s="264" t="e">
        <f>MAX(0,T16-T14)</f>
        <v>#VALUE!</v>
      </c>
    </row>
    <row r="26" spans="1:27" x14ac:dyDescent="0.25">
      <c r="C26" s="338" t="s">
        <v>188</v>
      </c>
      <c r="D26" s="339"/>
      <c r="E26" s="252">
        <f ca="1">INDIRECT("Summary!K"&amp;(12+A1))</f>
        <v>0</v>
      </c>
      <c r="F26" s="319" t="s">
        <v>195</v>
      </c>
      <c r="G26" s="319"/>
      <c r="H26" s="320"/>
    </row>
    <row r="27" spans="1:27" x14ac:dyDescent="0.25">
      <c r="C27" s="338"/>
      <c r="D27" s="339"/>
      <c r="E27" s="284">
        <v>0.4</v>
      </c>
      <c r="F27" s="319" t="s">
        <v>46</v>
      </c>
      <c r="G27" s="319"/>
      <c r="H27" s="320"/>
    </row>
    <row r="28" spans="1:27" x14ac:dyDescent="0.25">
      <c r="C28" s="334" t="s">
        <v>187</v>
      </c>
      <c r="D28" s="335"/>
      <c r="E28" s="285">
        <f ca="1">SUM(U19:W20)</f>
        <v>0</v>
      </c>
      <c r="F28" s="255" t="s">
        <v>44</v>
      </c>
      <c r="G28" s="255"/>
      <c r="H28" s="256"/>
    </row>
    <row r="29" spans="1:27" x14ac:dyDescent="0.25">
      <c r="C29" s="259" t="s">
        <v>190</v>
      </c>
      <c r="D29" s="249"/>
      <c r="E29" s="257">
        <f ca="1">(E23*SUM(D6:D7)+E26*SUM(D12:D13))/SUM(D6:D7,D12:D13)</f>
        <v>0.1</v>
      </c>
      <c r="F29" s="258" t="s">
        <v>189</v>
      </c>
      <c r="G29" s="258"/>
      <c r="H29" s="250"/>
    </row>
    <row r="30" spans="1:27" x14ac:dyDescent="0.25">
      <c r="C30" s="336" t="s">
        <v>187</v>
      </c>
      <c r="D30" s="337"/>
      <c r="E30" s="260">
        <f ca="1">SUM(E25,E28)</f>
        <v>5.3413598945121068</v>
      </c>
      <c r="F30" s="246" t="s">
        <v>44</v>
      </c>
      <c r="G30" s="247"/>
      <c r="H30" s="248"/>
    </row>
  </sheetData>
  <mergeCells count="28">
    <mergeCell ref="C28:D28"/>
    <mergeCell ref="C30:D30"/>
    <mergeCell ref="C24:D24"/>
    <mergeCell ref="C26:D26"/>
    <mergeCell ref="F26:H26"/>
    <mergeCell ref="C27:D27"/>
    <mergeCell ref="F27:H27"/>
    <mergeCell ref="V4:Y4"/>
    <mergeCell ref="C1:H1"/>
    <mergeCell ref="D4:H4"/>
    <mergeCell ref="C21:D21"/>
    <mergeCell ref="J21:K21"/>
    <mergeCell ref="F18:G18"/>
    <mergeCell ref="F21:G21"/>
    <mergeCell ref="F19:G19"/>
    <mergeCell ref="F20:G20"/>
    <mergeCell ref="C23:D23"/>
    <mergeCell ref="C25:D25"/>
    <mergeCell ref="E3:H3"/>
    <mergeCell ref="E2:H2"/>
    <mergeCell ref="J23:M23"/>
    <mergeCell ref="K24:M24"/>
    <mergeCell ref="C22:H22"/>
    <mergeCell ref="F24:H24"/>
    <mergeCell ref="F23:H23"/>
    <mergeCell ref="C17:H17"/>
    <mergeCell ref="J17:N17"/>
    <mergeCell ref="J4:N4"/>
  </mergeCells>
  <dataValidations disablePrompts="1" count="1">
    <dataValidation type="decimal" allowBlank="1" showInputMessage="1" showErrorMessage="1" sqref="N23">
      <formula1>H18</formula1>
      <formula2>N18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Events!$B$3:$B$9</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30"/>
  <sheetViews>
    <sheetView showGridLines="0" workbookViewId="0">
      <pane ySplit="3" topLeftCell="A4" activePane="bottomLeft" state="frozen"/>
      <selection pane="bottomLeft" activeCell="R17" sqref="R17:W20"/>
    </sheetView>
  </sheetViews>
  <sheetFormatPr defaultRowHeight="15" x14ac:dyDescent="0.25"/>
  <cols>
    <col min="1" max="2" width="2" bestFit="1" customWidth="1"/>
    <col min="3" max="3" width="29.140625" bestFit="1" customWidth="1"/>
    <col min="4" max="4" width="10" bestFit="1" customWidth="1"/>
    <col min="5" max="5" width="8.7109375" customWidth="1"/>
    <col min="6" max="6" width="9" customWidth="1"/>
    <col min="7" max="7" width="9.85546875" customWidth="1"/>
    <col min="8" max="8" width="7.140625" bestFit="1" customWidth="1"/>
    <col min="9" max="9" width="4.7109375" customWidth="1"/>
    <col min="10" max="10" width="27.28515625" customWidth="1"/>
    <col min="11" max="11" width="11" customWidth="1"/>
    <col min="12" max="12" width="7.5703125" bestFit="1" customWidth="1"/>
    <col min="13" max="13" width="7.42578125" bestFit="1" customWidth="1"/>
    <col min="14" max="14" width="8.28515625" bestFit="1" customWidth="1"/>
    <col min="15" max="15" width="5.28515625" customWidth="1"/>
    <col min="16" max="16" width="2" bestFit="1" customWidth="1"/>
    <col min="17" max="17" width="27.42578125" bestFit="1" customWidth="1"/>
    <col min="18" max="18" width="6.7109375" bestFit="1" customWidth="1"/>
    <col min="19" max="19" width="7" bestFit="1" customWidth="1"/>
    <col min="20" max="27" width="7" customWidth="1"/>
    <col min="28" max="28" width="6" bestFit="1" customWidth="1"/>
    <col min="29" max="29" width="7" bestFit="1" customWidth="1"/>
    <col min="30" max="30" width="5" bestFit="1" customWidth="1"/>
    <col min="31" max="31" width="6" bestFit="1" customWidth="1"/>
  </cols>
  <sheetData>
    <row r="1" spans="1:31" s="8" customFormat="1" ht="19.5" customHeight="1" x14ac:dyDescent="0.25">
      <c r="A1" s="9">
        <v>2</v>
      </c>
      <c r="C1" s="326" t="str">
        <f>VLOOKUP(A1,LANDCOVER,2)</f>
        <v>BIG BRANCH</v>
      </c>
      <c r="D1" s="326"/>
      <c r="E1" s="326"/>
      <c r="F1" s="326"/>
      <c r="G1" s="326"/>
      <c r="H1" s="326"/>
    </row>
    <row r="2" spans="1:31" s="15" customFormat="1" ht="15.75" x14ac:dyDescent="0.25">
      <c r="A2" s="14"/>
      <c r="C2" s="17" t="s">
        <v>98</v>
      </c>
      <c r="D2" s="18" t="s">
        <v>32</v>
      </c>
      <c r="E2" s="314" t="s">
        <v>26</v>
      </c>
      <c r="F2" s="314"/>
      <c r="G2" s="314"/>
      <c r="H2" s="314"/>
    </row>
    <row r="3" spans="1:31" s="21" customFormat="1" ht="15.75" customHeight="1" x14ac:dyDescent="0.25">
      <c r="A3" s="20"/>
      <c r="C3" s="65" t="str">
        <f ca="1">INDIRECT("Summary!I"&amp;(12+A1))</f>
        <v>5 yr / 24 hour                               </v>
      </c>
      <c r="D3" s="22">
        <f ca="1">VLOOKUP($C$3,Events!$B$3:$D$9,2,FALSE)</f>
        <v>4.38</v>
      </c>
      <c r="E3" s="313" t="str">
        <f ca="1">VLOOKUP($C$3,Events!$B$3:$D$9,3,FALSE)</f>
        <v>Site ID: 31-4782</v>
      </c>
      <c r="F3" s="313"/>
      <c r="G3" s="313"/>
      <c r="H3" s="313"/>
    </row>
    <row r="4" spans="1:31" s="33" customFormat="1" x14ac:dyDescent="0.25">
      <c r="A4" s="32"/>
      <c r="C4" s="34"/>
      <c r="D4" s="327" t="s">
        <v>42</v>
      </c>
      <c r="E4" s="327"/>
      <c r="F4" s="327"/>
      <c r="G4" s="327"/>
      <c r="H4" s="327"/>
      <c r="J4" s="324" t="s">
        <v>45</v>
      </c>
      <c r="K4" s="324"/>
      <c r="L4" s="324"/>
      <c r="M4" s="324"/>
      <c r="N4" s="324"/>
      <c r="Q4" s="190" t="s">
        <v>171</v>
      </c>
      <c r="V4" s="325" t="s">
        <v>173</v>
      </c>
      <c r="W4" s="325"/>
      <c r="X4" s="325"/>
      <c r="Y4" s="325"/>
    </row>
    <row r="5" spans="1:31" s="15" customFormat="1" ht="25.5" x14ac:dyDescent="0.25">
      <c r="A5" s="14"/>
      <c r="C5" s="16"/>
      <c r="D5" s="3" t="s">
        <v>23</v>
      </c>
      <c r="E5" s="3" t="s">
        <v>31</v>
      </c>
      <c r="F5" s="19" t="s">
        <v>29</v>
      </c>
      <c r="G5" s="19" t="s">
        <v>95</v>
      </c>
      <c r="H5" s="19" t="s">
        <v>96</v>
      </c>
      <c r="J5" s="16" t="s">
        <v>23</v>
      </c>
      <c r="K5" s="3" t="s">
        <v>23</v>
      </c>
      <c r="L5" s="3" t="s">
        <v>31</v>
      </c>
      <c r="M5" s="19" t="s">
        <v>30</v>
      </c>
      <c r="N5" s="19" t="s">
        <v>96</v>
      </c>
      <c r="Q5" s="186" t="s">
        <v>165</v>
      </c>
      <c r="R5" s="178" t="s">
        <v>167</v>
      </c>
      <c r="S5" s="184" t="s">
        <v>20</v>
      </c>
      <c r="T5" s="184" t="s">
        <v>168</v>
      </c>
      <c r="U5" s="184" t="s">
        <v>19</v>
      </c>
      <c r="V5" s="209" t="s">
        <v>167</v>
      </c>
      <c r="W5" s="209" t="s">
        <v>20</v>
      </c>
      <c r="X5" s="209" t="s">
        <v>168</v>
      </c>
      <c r="Y5" s="209" t="s">
        <v>19</v>
      </c>
      <c r="Z5" s="184"/>
      <c r="AA5" s="184"/>
      <c r="AB5" s="184" t="s">
        <v>169</v>
      </c>
      <c r="AC5" s="175" t="s">
        <v>170</v>
      </c>
      <c r="AD5" s="184" t="s">
        <v>168</v>
      </c>
      <c r="AE5" s="175" t="s">
        <v>172</v>
      </c>
    </row>
    <row r="6" spans="1:31" s="15" customFormat="1" x14ac:dyDescent="0.2">
      <c r="A6" s="25"/>
      <c r="C6" s="5" t="s">
        <v>118</v>
      </c>
      <c r="D6" s="28">
        <f>VLOOKUP($A$1,LANDCOVER,3)</f>
        <v>1416.9541650529438</v>
      </c>
      <c r="E6" s="198">
        <f>D6/$D$15</f>
        <v>0.64526047084996174</v>
      </c>
      <c r="F6" s="191">
        <f t="shared" ref="F6:F14" ca="1" si="0">IF(D6&gt;0,IF($D$3&lt;0.05*S6,0,($D$3-T6)^2/($D$3-A6+S6)),0)</f>
        <v>1.6554237581617766</v>
      </c>
      <c r="G6" s="28">
        <f ca="1">D6*$F6*43560/12/1000</f>
        <v>8514.7443082693826</v>
      </c>
      <c r="H6" s="28">
        <f ca="1">IFERROR(($Y6/$U6-1)*G6,0)</f>
        <v>1898.0167603731936</v>
      </c>
      <c r="J6" s="5" t="s">
        <v>118</v>
      </c>
      <c r="K6" s="28">
        <f>VLOOKUP($A$1,LANDCOVERPOT,3)</f>
        <v>1642.6321361784987</v>
      </c>
      <c r="L6" s="29">
        <f>K6/$K$15</f>
        <v>0.74803096089153498</v>
      </c>
      <c r="M6" s="28">
        <f ca="1">K6*$F6*43560/12/1000</f>
        <v>9870.8857188642014</v>
      </c>
      <c r="N6" s="28">
        <f ca="1">IFERROR(($Y6/$U6-1)*M6,0)</f>
        <v>2200.3134628408534</v>
      </c>
      <c r="P6" s="176">
        <v>1</v>
      </c>
      <c r="Q6" s="192" t="str">
        <f t="shared" ref="Q6:Q14" si="1">C6</f>
        <v>Tree Canopy</v>
      </c>
      <c r="R6" s="193">
        <f t="shared" ref="R6:R14" si="2">VLOOKUP($A$1,CompositeCN,$P6+1)</f>
        <v>73.841315468974443</v>
      </c>
      <c r="S6" s="194">
        <f>IFERROR(1000/R6-10,0)</f>
        <v>3.5425539706177815</v>
      </c>
      <c r="T6" s="194">
        <f>0.2*S6+ModelCi</f>
        <v>0.75851079412355638</v>
      </c>
      <c r="U6" s="194">
        <f t="shared" ref="U6:U14" ca="1" si="3">IF(D6&gt;0,IF($D$3&lt;0.05*S6,0,($D$3-T6)^2/($D$3-A6+S6)),0)</f>
        <v>1.6554237581617766</v>
      </c>
      <c r="V6" s="203">
        <f>R6-CNadj</f>
        <v>75.841315468974443</v>
      </c>
      <c r="W6" s="204">
        <f>IFERROR(1000/V6-10,0)</f>
        <v>3.1854253030340054</v>
      </c>
      <c r="X6" s="204">
        <f t="shared" ref="X6:X7" si="4">0.2*W6</f>
        <v>0.63708506060680115</v>
      </c>
      <c r="Y6" s="205">
        <f ca="1">IF(D6&gt;0,IF($D$3&lt;0.05*W6,0,($D$3-X6)^2/($D$3-E6+W6)),0)</f>
        <v>2.0244333167294428</v>
      </c>
      <c r="Z6" s="202"/>
      <c r="AA6" s="202"/>
      <c r="AB6" s="187">
        <f>0.05*S6</f>
        <v>0.17712769853088908</v>
      </c>
      <c r="AC6" s="188">
        <f>1.33*S6^1.15</f>
        <v>5.6959423847685793</v>
      </c>
      <c r="AD6" s="189">
        <f>0.05+ModelCi</f>
        <v>0.1</v>
      </c>
      <c r="AE6" s="188">
        <f>AD6*S6</f>
        <v>0.35425539706177817</v>
      </c>
    </row>
    <row r="7" spans="1:31" s="15" customFormat="1" x14ac:dyDescent="0.2">
      <c r="A7" s="25"/>
      <c r="C7" s="5" t="s">
        <v>119</v>
      </c>
      <c r="D7" s="28">
        <f>VLOOKUP($A$1,LANDCOVER,4)</f>
        <v>4.312960076235842</v>
      </c>
      <c r="E7" s="198">
        <f>D7/$D$15</f>
        <v>1.9640597544981573E-3</v>
      </c>
      <c r="F7" s="191">
        <f t="shared" ca="1" si="0"/>
        <v>3.7597312948807056</v>
      </c>
      <c r="G7" s="28">
        <f t="shared" ref="G7:G14" ca="1" si="5">D7*$F7*43560/12/1000</f>
        <v>58.862522629067733</v>
      </c>
      <c r="H7" s="28">
        <f ca="1">($Y7/$U7-1)*G7</f>
        <v>5.4701956236541251</v>
      </c>
      <c r="J7" s="5" t="s">
        <v>119</v>
      </c>
      <c r="K7" s="28">
        <f>VLOOKUP($A$1,LANDCOVERPOT,4)</f>
        <v>28.168171076564249</v>
      </c>
      <c r="L7" s="29">
        <f>K7/$K$15</f>
        <v>1.2827378457345504E-2</v>
      </c>
      <c r="M7" s="28">
        <f t="shared" ref="M7:M14" ca="1" si="6">K7*$F7*43560/12/1000</f>
        <v>384.43425816748709</v>
      </c>
      <c r="N7" s="28">
        <f ca="1">($Y7/$U7-1)*M7</f>
        <v>35.726137832428371</v>
      </c>
      <c r="P7" s="176">
        <v>2</v>
      </c>
      <c r="Q7" s="195" t="str">
        <f t="shared" si="1"/>
        <v>Tree Canopy over Impervious</v>
      </c>
      <c r="R7" s="196">
        <f t="shared" si="2"/>
        <v>96</v>
      </c>
      <c r="S7" s="197">
        <f t="shared" ref="S7:S14" si="7">IFERROR(1000/R7-10,0)</f>
        <v>0.41666666666666607</v>
      </c>
      <c r="T7" s="197">
        <f>0.2*S7+ModelCi</f>
        <v>0.13333333333333322</v>
      </c>
      <c r="U7" s="197">
        <f t="shared" ca="1" si="3"/>
        <v>3.7597312948807056</v>
      </c>
      <c r="V7" s="206">
        <f>R7-CNadj</f>
        <v>98</v>
      </c>
      <c r="W7" s="207">
        <f>IFERROR(1000/V7-10,0)</f>
        <v>0.20408163265306101</v>
      </c>
      <c r="X7" s="207">
        <f t="shared" si="4"/>
        <v>4.0816326530612207E-2</v>
      </c>
      <c r="Y7" s="208">
        <f ca="1">IF(D7&gt;0,IF($D$3&lt;0.05*W7,0,($D$3-X7)^2/($D$3-E7+W7)),0)</f>
        <v>4.1091296005730218</v>
      </c>
      <c r="Z7" s="185"/>
      <c r="AA7" s="185"/>
      <c r="AB7" s="187">
        <f t="shared" ref="AB7:AB14" si="8">0.05*S7</f>
        <v>2.0833333333333304E-2</v>
      </c>
      <c r="AC7" s="188">
        <f>1.33*S7^1.15</f>
        <v>0.48596916396643658</v>
      </c>
      <c r="AD7" s="189">
        <f>0.05+ModelCi</f>
        <v>0.1</v>
      </c>
      <c r="AE7" s="188">
        <f t="shared" ref="AE7:AE14" si="9">AD7*S7</f>
        <v>4.1666666666666609E-2</v>
      </c>
    </row>
    <row r="8" spans="1:31" s="15" customFormat="1" x14ac:dyDescent="0.2">
      <c r="A8" s="25"/>
      <c r="C8" s="5" t="s">
        <v>2</v>
      </c>
      <c r="D8" s="28">
        <f>VLOOKUP($A$1,LANDCOVER,5)</f>
        <v>336.18379700918581</v>
      </c>
      <c r="E8" s="198">
        <f>D8/$D$15</f>
        <v>0.15309324782722936</v>
      </c>
      <c r="F8" s="191">
        <f t="shared" ca="1" si="0"/>
        <v>1.4992903819358263</v>
      </c>
      <c r="G8" s="28">
        <f t="shared" ca="1" si="5"/>
        <v>1829.6547943092949</v>
      </c>
      <c r="H8" s="199"/>
      <c r="J8" s="5" t="s">
        <v>2</v>
      </c>
      <c r="K8" s="28">
        <f>VLOOKUP($A$1,LANDCOVERPOT,5)</f>
        <v>110.5058258836311</v>
      </c>
      <c r="L8" s="29">
        <f>K8/$K$15</f>
        <v>5.0322757785655967E-2</v>
      </c>
      <c r="M8" s="28">
        <f t="shared" ca="1" si="6"/>
        <v>601.41956847958772</v>
      </c>
      <c r="N8" s="199"/>
      <c r="P8" s="176">
        <v>3</v>
      </c>
      <c r="Q8" s="175" t="str">
        <f t="shared" si="1"/>
        <v>Pervious</v>
      </c>
      <c r="R8" s="177">
        <f t="shared" si="2"/>
        <v>70.991524410028063</v>
      </c>
      <c r="S8" s="185">
        <f t="shared" si="7"/>
        <v>4.086188574065087</v>
      </c>
      <c r="T8" s="185">
        <f t="shared" ref="T8:T14" si="10">0.2*S8</f>
        <v>0.81723771481301744</v>
      </c>
      <c r="U8" s="185">
        <f t="shared" ca="1" si="3"/>
        <v>1.4992903819358263</v>
      </c>
      <c r="V8" s="185"/>
      <c r="W8" s="185"/>
      <c r="X8" s="185"/>
      <c r="Y8" s="185"/>
      <c r="Z8" s="185"/>
      <c r="AA8" s="185"/>
      <c r="AB8" s="187">
        <f t="shared" si="8"/>
        <v>0.20430942870325436</v>
      </c>
      <c r="AC8" s="188">
        <f t="shared" ref="AC8:AC14" si="11">1.33*S8^1.15</f>
        <v>6.712245104246966</v>
      </c>
      <c r="AD8" s="184">
        <f>0.05</f>
        <v>0.05</v>
      </c>
      <c r="AE8" s="188">
        <f t="shared" si="9"/>
        <v>0.20430942870325436</v>
      </c>
    </row>
    <row r="9" spans="1:31" s="15" customFormat="1" x14ac:dyDescent="0.2">
      <c r="A9" s="25"/>
      <c r="C9" s="5" t="s">
        <v>12</v>
      </c>
      <c r="D9" s="28">
        <f>VLOOKUP($A$1,LANDCOVER,6)</f>
        <v>11.104871423515455</v>
      </c>
      <c r="E9" s="198">
        <f>D9/$D$15</f>
        <v>5.0569981303510477E-3</v>
      </c>
      <c r="F9" s="191">
        <f t="shared" ca="1" si="0"/>
        <v>4.38</v>
      </c>
      <c r="G9" s="28">
        <f t="shared" ca="1" si="5"/>
        <v>176.56079271104164</v>
      </c>
      <c r="H9" s="200"/>
      <c r="J9" s="5" t="s">
        <v>12</v>
      </c>
      <c r="K9" s="28">
        <f>VLOOKUP($A$1,LANDCOVERPOT,6)</f>
        <v>11.104871423515455</v>
      </c>
      <c r="L9" s="29">
        <f>K9/$K$15</f>
        <v>5.0569981303510468E-3</v>
      </c>
      <c r="M9" s="28">
        <f t="shared" ca="1" si="6"/>
        <v>176.56079271104164</v>
      </c>
      <c r="N9" s="200"/>
      <c r="P9" s="176">
        <v>4</v>
      </c>
      <c r="Q9" s="175" t="str">
        <f t="shared" si="1"/>
        <v>Water</v>
      </c>
      <c r="R9" s="177">
        <f t="shared" si="2"/>
        <v>100</v>
      </c>
      <c r="S9" s="185">
        <f t="shared" si="7"/>
        <v>0</v>
      </c>
      <c r="T9" s="185">
        <f t="shared" si="10"/>
        <v>0</v>
      </c>
      <c r="U9" s="185">
        <f t="shared" ca="1" si="3"/>
        <v>4.38</v>
      </c>
      <c r="V9" s="185"/>
      <c r="W9" s="185"/>
      <c r="X9" s="185"/>
      <c r="Y9" s="185"/>
      <c r="Z9" s="185"/>
      <c r="AA9" s="185"/>
      <c r="AB9" s="187">
        <f t="shared" si="8"/>
        <v>0</v>
      </c>
      <c r="AC9" s="188">
        <f t="shared" si="11"/>
        <v>0</v>
      </c>
      <c r="AD9" s="184"/>
      <c r="AE9" s="188">
        <f t="shared" si="9"/>
        <v>0</v>
      </c>
    </row>
    <row r="10" spans="1:31" s="15" customFormat="1" x14ac:dyDescent="0.2">
      <c r="A10" s="25"/>
      <c r="C10" s="5" t="s">
        <v>4</v>
      </c>
      <c r="D10" s="28">
        <f>VLOOKUP($A$1,LANDCOVER,7)</f>
        <v>310.79579745878925</v>
      </c>
      <c r="E10" s="198">
        <f>D10/$D$15</f>
        <v>0.14153191934684384</v>
      </c>
      <c r="F10" s="191">
        <f t="shared" ca="1" si="0"/>
        <v>4.1073690350505805</v>
      </c>
      <c r="G10" s="28">
        <f t="shared" ca="1" si="5"/>
        <v>4633.8875159830804</v>
      </c>
      <c r="H10" s="200"/>
      <c r="J10" s="5" t="s">
        <v>4</v>
      </c>
      <c r="K10" s="28">
        <f>VLOOKUP($A$1,LANDCOVERPOT,7)</f>
        <v>286.94058645846081</v>
      </c>
      <c r="L10" s="29">
        <f>K10/$K$15</f>
        <v>0.13066860064399644</v>
      </c>
      <c r="M10" s="28">
        <f t="shared" ca="1" si="6"/>
        <v>4278.2122933790106</v>
      </c>
      <c r="N10" s="200"/>
      <c r="P10" s="176">
        <v>5</v>
      </c>
      <c r="Q10" s="175" t="str">
        <f t="shared" si="1"/>
        <v>Impervious</v>
      </c>
      <c r="R10" s="177">
        <f t="shared" si="2"/>
        <v>98</v>
      </c>
      <c r="S10" s="185">
        <f t="shared" si="7"/>
        <v>0.20408163265306101</v>
      </c>
      <c r="T10" s="185">
        <f t="shared" si="10"/>
        <v>4.0816326530612207E-2</v>
      </c>
      <c r="U10" s="185">
        <f t="shared" ca="1" si="3"/>
        <v>4.1073690350505805</v>
      </c>
      <c r="V10" s="185"/>
      <c r="W10" s="185"/>
      <c r="X10" s="185"/>
      <c r="Y10" s="185"/>
      <c r="Z10" s="185"/>
      <c r="AA10" s="185"/>
      <c r="AB10" s="187">
        <f t="shared" si="8"/>
        <v>1.0204081632653052E-2</v>
      </c>
      <c r="AC10" s="188">
        <f t="shared" si="11"/>
        <v>0.2138583190676947</v>
      </c>
      <c r="AD10" s="184">
        <f>0.05</f>
        <v>0.05</v>
      </c>
      <c r="AE10" s="188">
        <f t="shared" si="9"/>
        <v>1.0204081632653052E-2</v>
      </c>
    </row>
    <row r="11" spans="1:31" s="15" customFormat="1" x14ac:dyDescent="0.2">
      <c r="A11" s="25"/>
      <c r="C11" s="5" t="s">
        <v>9</v>
      </c>
      <c r="D11" s="28">
        <f>VLOOKUP($A$1,LANDCOVER,8)</f>
        <v>116.58978314483213</v>
      </c>
      <c r="E11" s="198">
        <f t="shared" ref="E11:E14" si="12">D11/$D$15</f>
        <v>5.3093304091115991E-2</v>
      </c>
      <c r="F11" s="191">
        <f t="shared" ca="1" si="0"/>
        <v>3.2082272693496767</v>
      </c>
      <c r="G11" s="28">
        <f t="shared" ca="1" si="5"/>
        <v>1357.7888734545211</v>
      </c>
      <c r="H11" s="200"/>
      <c r="J11" s="5" t="s">
        <v>9</v>
      </c>
      <c r="K11" s="28">
        <f>VLOOKUP($A$1,LANDCOVERPOT,8)</f>
        <v>116.58978314483213</v>
      </c>
      <c r="L11" s="29"/>
      <c r="M11" s="28">
        <f t="shared" ca="1" si="6"/>
        <v>1357.7888734545211</v>
      </c>
      <c r="N11" s="200"/>
      <c r="P11" s="176">
        <v>6</v>
      </c>
      <c r="Q11" s="175" t="str">
        <f t="shared" si="1"/>
        <v>Bare Earth</v>
      </c>
      <c r="R11" s="177">
        <f t="shared" si="2"/>
        <v>90.551132156730461</v>
      </c>
      <c r="S11" s="185">
        <f t="shared" si="7"/>
        <v>1.043484230204319</v>
      </c>
      <c r="T11" s="185">
        <f t="shared" si="10"/>
        <v>0.2086968460408638</v>
      </c>
      <c r="U11" s="185">
        <f t="shared" ca="1" si="3"/>
        <v>3.2082272693496767</v>
      </c>
      <c r="V11" s="185"/>
      <c r="W11" s="185"/>
      <c r="X11" s="185"/>
      <c r="Y11" s="185"/>
      <c r="Z11" s="185"/>
      <c r="AA11" s="185"/>
      <c r="AB11" s="187">
        <f t="shared" si="8"/>
        <v>5.2174211510215951E-2</v>
      </c>
      <c r="AC11" s="188">
        <f t="shared" si="11"/>
        <v>1.3967234175076468</v>
      </c>
      <c r="AD11" s="184">
        <f>0.05</f>
        <v>0.05</v>
      </c>
      <c r="AE11" s="188">
        <f t="shared" si="9"/>
        <v>5.2174211510215951E-2</v>
      </c>
    </row>
    <row r="12" spans="1:31" s="15" customFormat="1" x14ac:dyDescent="0.2">
      <c r="A12" s="25"/>
      <c r="C12" s="5" t="s">
        <v>120</v>
      </c>
      <c r="D12" s="28">
        <f>VLOOKUP($A$1,LANDCOVER,9)</f>
        <v>0</v>
      </c>
      <c r="E12" s="198">
        <f t="shared" si="12"/>
        <v>0</v>
      </c>
      <c r="F12" s="191">
        <f t="shared" si="0"/>
        <v>0</v>
      </c>
      <c r="G12" s="28">
        <f t="shared" si="5"/>
        <v>0</v>
      </c>
      <c r="H12" s="28">
        <f>IFERROR(($Y12/$U12-1)*G12,0)</f>
        <v>0</v>
      </c>
      <c r="J12" s="5" t="s">
        <v>120</v>
      </c>
      <c r="K12" s="28">
        <f>VLOOKUP($A$1,LANDCOVERPOT,9)</f>
        <v>0</v>
      </c>
      <c r="L12" s="29"/>
      <c r="M12" s="28">
        <f t="shared" si="6"/>
        <v>0</v>
      </c>
      <c r="N12" s="28">
        <f>IFERROR(($Y12/$U12-1)*M12,0)</f>
        <v>0</v>
      </c>
      <c r="P12" s="176">
        <v>7</v>
      </c>
      <c r="Q12" s="175" t="str">
        <f t="shared" si="1"/>
        <v>Forested Open Space</v>
      </c>
      <c r="R12" s="177" t="str">
        <f t="shared" si="2"/>
        <v/>
      </c>
      <c r="S12" s="185">
        <f t="shared" si="7"/>
        <v>0</v>
      </c>
      <c r="T12" s="185">
        <f t="shared" si="10"/>
        <v>0</v>
      </c>
      <c r="U12" s="185">
        <f t="shared" si="3"/>
        <v>0</v>
      </c>
      <c r="V12" s="185"/>
      <c r="W12" s="185"/>
      <c r="X12" s="185"/>
      <c r="Y12" s="185"/>
      <c r="Z12" s="185"/>
      <c r="AA12" s="185"/>
      <c r="AB12" s="187">
        <f t="shared" si="8"/>
        <v>0</v>
      </c>
      <c r="AC12" s="188">
        <f t="shared" si="11"/>
        <v>0</v>
      </c>
      <c r="AD12" s="184">
        <f>0.05</f>
        <v>0.05</v>
      </c>
      <c r="AE12" s="188">
        <f t="shared" si="9"/>
        <v>0</v>
      </c>
    </row>
    <row r="13" spans="1:31" s="15" customFormat="1" x14ac:dyDescent="0.2">
      <c r="A13" s="25"/>
      <c r="C13" s="5" t="s">
        <v>121</v>
      </c>
      <c r="D13" s="28">
        <f>VLOOKUP($A$1,LANDCOVER,10)</f>
        <v>0</v>
      </c>
      <c r="E13" s="198">
        <f t="shared" si="12"/>
        <v>0</v>
      </c>
      <c r="F13" s="191">
        <f t="shared" si="0"/>
        <v>0</v>
      </c>
      <c r="G13" s="28">
        <f t="shared" si="5"/>
        <v>0</v>
      </c>
      <c r="H13" s="28">
        <f>IFERROR(($Y13/$U13-1)*G13,0)</f>
        <v>0</v>
      </c>
      <c r="J13" s="5" t="s">
        <v>121</v>
      </c>
      <c r="K13" s="28">
        <f>VLOOKUP($A$1,LANDCOVERPOT,10)</f>
        <v>0</v>
      </c>
      <c r="L13" s="29">
        <f>K13/$K$15</f>
        <v>0</v>
      </c>
      <c r="M13" s="28">
        <f t="shared" si="6"/>
        <v>0</v>
      </c>
      <c r="N13" s="28">
        <f>IFERROR(($Y13/$U13-1)*M13,0)</f>
        <v>0</v>
      </c>
      <c r="P13" s="176">
        <v>8</v>
      </c>
      <c r="Q13" s="175" t="str">
        <f t="shared" si="1"/>
        <v>Forested Wetlands</v>
      </c>
      <c r="R13" s="177" t="str">
        <f t="shared" si="2"/>
        <v/>
      </c>
      <c r="S13" s="185">
        <f t="shared" si="7"/>
        <v>0</v>
      </c>
      <c r="T13" s="185">
        <f t="shared" si="10"/>
        <v>0</v>
      </c>
      <c r="U13" s="185">
        <f t="shared" si="3"/>
        <v>0</v>
      </c>
      <c r="V13" s="185"/>
      <c r="W13" s="185"/>
      <c r="X13" s="185"/>
      <c r="Y13" s="185"/>
      <c r="Z13" s="185"/>
      <c r="AA13" s="185"/>
      <c r="AB13" s="187">
        <f t="shared" si="8"/>
        <v>0</v>
      </c>
      <c r="AC13" s="188">
        <f t="shared" si="11"/>
        <v>0</v>
      </c>
      <c r="AD13" s="184">
        <f>0.05</f>
        <v>0.05</v>
      </c>
      <c r="AE13" s="188">
        <f t="shared" si="9"/>
        <v>0</v>
      </c>
    </row>
    <row r="14" spans="1:31" s="15" customFormat="1" x14ac:dyDescent="0.2">
      <c r="A14" s="25"/>
      <c r="C14" s="5" t="s">
        <v>7</v>
      </c>
      <c r="D14" s="28">
        <f>VLOOKUP($A$1,LANDCOVER,11)</f>
        <v>0</v>
      </c>
      <c r="E14" s="198">
        <f t="shared" si="12"/>
        <v>0</v>
      </c>
      <c r="F14" s="191">
        <f t="shared" si="0"/>
        <v>0</v>
      </c>
      <c r="G14" s="28">
        <f t="shared" si="5"/>
        <v>0</v>
      </c>
      <c r="H14" s="201"/>
      <c r="J14" s="5" t="s">
        <v>7</v>
      </c>
      <c r="K14" s="28">
        <f>VLOOKUP($A$1,LANDCOVERPOT,11)</f>
        <v>0</v>
      </c>
      <c r="L14" s="29">
        <f>K14/$K$15</f>
        <v>0</v>
      </c>
      <c r="M14" s="28">
        <f t="shared" si="6"/>
        <v>0</v>
      </c>
      <c r="N14" s="201"/>
      <c r="P14" s="176">
        <v>9</v>
      </c>
      <c r="Q14" s="175" t="str">
        <f t="shared" si="1"/>
        <v>Wetlands</v>
      </c>
      <c r="R14" s="177" t="str">
        <f t="shared" si="2"/>
        <v/>
      </c>
      <c r="S14" s="185">
        <f t="shared" si="7"/>
        <v>0</v>
      </c>
      <c r="T14" s="185">
        <f t="shared" si="10"/>
        <v>0</v>
      </c>
      <c r="U14" s="185">
        <f t="shared" si="3"/>
        <v>0</v>
      </c>
      <c r="V14" s="185"/>
      <c r="W14" s="185"/>
      <c r="X14" s="185"/>
      <c r="Y14" s="185"/>
      <c r="Z14" s="185"/>
      <c r="AA14" s="185"/>
      <c r="AB14" s="187">
        <f t="shared" si="8"/>
        <v>0</v>
      </c>
      <c r="AC14" s="188">
        <f t="shared" si="11"/>
        <v>0</v>
      </c>
      <c r="AD14" s="184">
        <f>0.05</f>
        <v>0.05</v>
      </c>
      <c r="AE14" s="188">
        <f t="shared" si="9"/>
        <v>0</v>
      </c>
    </row>
    <row r="15" spans="1:31" x14ac:dyDescent="0.25">
      <c r="C15" s="30" t="s">
        <v>38</v>
      </c>
      <c r="D15" s="26">
        <f>SUM(D6:D14)</f>
        <v>2195.9413741655021</v>
      </c>
      <c r="E15" s="27"/>
      <c r="F15" s="27"/>
      <c r="G15" s="26">
        <f ca="1">SUM(G6:G14)</f>
        <v>16571.498807356387</v>
      </c>
      <c r="H15" s="26">
        <f ca="1">SUM(H6:H14)</f>
        <v>1903.4869559968477</v>
      </c>
      <c r="J15" s="30" t="s">
        <v>38</v>
      </c>
      <c r="K15" s="26">
        <f>SUM(K6:K14)</f>
        <v>2195.9413741655026</v>
      </c>
      <c r="L15" s="26"/>
      <c r="M15" s="26">
        <f ca="1">SUM(M6:M14)</f>
        <v>16669.301505055846</v>
      </c>
      <c r="N15" s="26">
        <f ca="1">SUM(N6:N14)</f>
        <v>2236.0396006732817</v>
      </c>
      <c r="S15" s="183"/>
      <c r="T15" s="183"/>
      <c r="U15" s="183"/>
      <c r="V15" s="183"/>
      <c r="W15" s="183"/>
      <c r="X15" s="183"/>
      <c r="Y15" s="183"/>
      <c r="Z15" s="183"/>
      <c r="AA15" s="183"/>
    </row>
    <row r="16" spans="1:31" ht="16.5" thickBot="1" x14ac:dyDescent="0.3">
      <c r="C16" s="210"/>
      <c r="D16" s="211"/>
      <c r="E16" s="212"/>
      <c r="F16" s="212"/>
      <c r="G16" s="211"/>
      <c r="J16" s="210"/>
      <c r="K16" s="211"/>
      <c r="L16" s="211"/>
      <c r="M16" s="211"/>
      <c r="N16" s="213"/>
      <c r="Q16" s="261" t="s">
        <v>191</v>
      </c>
      <c r="R16" s="261" t="s">
        <v>18</v>
      </c>
      <c r="S16" s="262" t="s">
        <v>17</v>
      </c>
      <c r="T16" s="262" t="s">
        <v>21</v>
      </c>
      <c r="U16" s="261" t="s">
        <v>18</v>
      </c>
      <c r="V16" s="262" t="s">
        <v>17</v>
      </c>
      <c r="W16" s="262" t="s">
        <v>21</v>
      </c>
      <c r="X16" s="183"/>
      <c r="Y16" s="183"/>
      <c r="Z16" s="183"/>
      <c r="AA16" s="183"/>
    </row>
    <row r="17" spans="1:27" ht="15.75" customHeight="1" x14ac:dyDescent="0.25">
      <c r="C17" s="323" t="s">
        <v>176</v>
      </c>
      <c r="D17" s="323"/>
      <c r="E17" s="323"/>
      <c r="F17" s="323"/>
      <c r="G17" s="323"/>
      <c r="H17" s="323"/>
      <c r="J17" s="323" t="s">
        <v>176</v>
      </c>
      <c r="K17" s="323"/>
      <c r="L17" s="323"/>
      <c r="M17" s="323"/>
      <c r="N17" s="323"/>
      <c r="Q17" s="263" t="s">
        <v>118</v>
      </c>
      <c r="R17" s="264">
        <f ca="1">MAX(0,U8-U6)</f>
        <v>0</v>
      </c>
      <c r="S17" s="265">
        <f ca="1">U10-U6</f>
        <v>2.4519452768888037</v>
      </c>
      <c r="T17" s="269"/>
      <c r="U17" s="272">
        <f ca="1">(E23*D6)*(1-E24)*R17*LossCF</f>
        <v>0</v>
      </c>
      <c r="V17" s="273">
        <f ca="1">(E23*D6)*(E24)*S17*LossCF</f>
        <v>3.7736792181410821</v>
      </c>
      <c r="W17" s="274"/>
      <c r="X17" s="183"/>
      <c r="Y17" s="183"/>
      <c r="Z17" s="183"/>
      <c r="AA17" s="183"/>
    </row>
    <row r="18" spans="1:27" ht="15" customHeight="1" thickBot="1" x14ac:dyDescent="0.3">
      <c r="C18" s="215" t="s">
        <v>40</v>
      </c>
      <c r="D18" s="216"/>
      <c r="E18" s="230"/>
      <c r="F18" s="330" t="s">
        <v>178</v>
      </c>
      <c r="G18" s="330"/>
      <c r="H18" s="217">
        <f>SUM(D6:D7,D12:D13)/SUM(D15,-D9)</f>
        <v>0.65051417959443569</v>
      </c>
      <c r="J18" s="215" t="s">
        <v>40</v>
      </c>
      <c r="K18" s="216"/>
      <c r="L18" s="216"/>
      <c r="M18" s="228" t="s">
        <v>43</v>
      </c>
      <c r="N18" s="217">
        <f>SUM(K6:K7,K12:K13)/SUM(K15,-K9)</f>
        <v>0.76472555505100503</v>
      </c>
      <c r="Q18" s="263" t="s">
        <v>119</v>
      </c>
      <c r="R18" s="267"/>
      <c r="S18" s="264">
        <f ca="1">U10-U7</f>
        <v>0.34763774016987492</v>
      </c>
      <c r="T18" s="270"/>
      <c r="U18" s="286"/>
      <c r="V18" s="275">
        <f ca="1">E23*D7*LossCF</f>
        <v>1.1711535831742599E-2</v>
      </c>
      <c r="W18" s="287"/>
    </row>
    <row r="19" spans="1:27" s="15" customFormat="1" ht="15.75" customHeight="1" x14ac:dyDescent="0.25">
      <c r="A19" s="4"/>
      <c r="C19" s="218" t="s">
        <v>41</v>
      </c>
      <c r="D19" s="219"/>
      <c r="E19" s="219"/>
      <c r="F19" s="332" t="s">
        <v>178</v>
      </c>
      <c r="G19" s="332"/>
      <c r="H19" s="220">
        <f>D10/SUM(D15,-D9)</f>
        <v>0.14225128382317767</v>
      </c>
      <c r="J19" s="218" t="s">
        <v>41</v>
      </c>
      <c r="K19" s="219"/>
      <c r="L19" s="219"/>
      <c r="M19" s="229" t="s">
        <v>177</v>
      </c>
      <c r="N19" s="220">
        <f>K10/SUM(K15,-K9)</f>
        <v>0.13133275011578582</v>
      </c>
      <c r="Q19" s="263" t="s">
        <v>120</v>
      </c>
      <c r="R19" s="266">
        <f ca="1">U8-U12</f>
        <v>1.4992903819358263</v>
      </c>
      <c r="S19" s="266">
        <f ca="1">U10-U12</f>
        <v>4.1073690350505805</v>
      </c>
      <c r="T19" s="271"/>
      <c r="U19" s="272">
        <f ca="1">E26*D12*(1-E27)*R19*LossCF</f>
        <v>0</v>
      </c>
      <c r="V19" s="273">
        <f ca="1">E26*D12*(E27)*R19*LossCF</f>
        <v>0</v>
      </c>
      <c r="W19" s="274"/>
    </row>
    <row r="20" spans="1:27" s="15" customFormat="1" ht="15.75" customHeight="1" thickBot="1" x14ac:dyDescent="0.3">
      <c r="A20" s="4"/>
      <c r="C20" s="221" t="s">
        <v>174</v>
      </c>
      <c r="D20" s="222"/>
      <c r="E20" s="33"/>
      <c r="F20" s="333">
        <v>0</v>
      </c>
      <c r="G20" s="333"/>
      <c r="H20" s="223">
        <f ca="1">H15/G15</f>
        <v>0.11486510533083799</v>
      </c>
      <c r="J20" s="221" t="s">
        <v>174</v>
      </c>
      <c r="K20" s="222"/>
      <c r="L20" s="33"/>
      <c r="M20" s="227" t="s">
        <v>43</v>
      </c>
      <c r="N20" s="223">
        <f ca="1">N15/M15</f>
        <v>0.13414116962219949</v>
      </c>
      <c r="Q20" s="263" t="s">
        <v>121</v>
      </c>
      <c r="R20" s="279"/>
      <c r="S20" s="280">
        <f ca="1">U10-U13</f>
        <v>4.1073690350505805</v>
      </c>
      <c r="T20" s="281">
        <f>U14-U13</f>
        <v>0</v>
      </c>
      <c r="U20" s="277"/>
      <c r="V20" s="275">
        <f ca="1">E26*D13*E27*S20*LossCF</f>
        <v>0</v>
      </c>
      <c r="W20" s="276">
        <f ca="1">E26*D13*(1-E27)*S20*LossCF</f>
        <v>0</v>
      </c>
    </row>
    <row r="21" spans="1:27" s="15" customFormat="1" ht="15.75" customHeight="1" x14ac:dyDescent="0.25">
      <c r="A21" s="141"/>
      <c r="C21" s="328" t="s">
        <v>175</v>
      </c>
      <c r="D21" s="329"/>
      <c r="E21" s="21"/>
      <c r="F21" s="331" t="str">
        <f ca="1">C3</f>
        <v>5 yr / 24 hour                               </v>
      </c>
      <c r="G21" s="331"/>
      <c r="H21" s="224">
        <f ca="1">H15*7.48052/1000</f>
        <v>14.239072244073538</v>
      </c>
      <c r="J21" s="328" t="s">
        <v>175</v>
      </c>
      <c r="K21" s="329"/>
      <c r="L21" s="225" t="s">
        <v>43</v>
      </c>
      <c r="M21" s="226" t="s">
        <v>43</v>
      </c>
      <c r="N21" s="224">
        <f ca="1">N15*7.48052/1000</f>
        <v>16.726738953628498</v>
      </c>
      <c r="O21" s="144"/>
      <c r="Q21" s="278">
        <f>43560/12/1000*7.48052/1000</f>
        <v>2.71542876E-2</v>
      </c>
      <c r="R21" s="282"/>
      <c r="S21" s="283"/>
      <c r="T21" s="283"/>
      <c r="U21" s="21"/>
      <c r="V21" s="21"/>
      <c r="W21" s="288"/>
    </row>
    <row r="22" spans="1:27" s="15" customFormat="1" ht="15.75" customHeight="1" x14ac:dyDescent="0.25">
      <c r="A22" s="141"/>
      <c r="C22" s="318" t="s">
        <v>186</v>
      </c>
      <c r="D22" s="318"/>
      <c r="E22" s="318"/>
      <c r="F22" s="318"/>
      <c r="G22" s="318"/>
      <c r="H22" s="318"/>
      <c r="J22" s="35"/>
      <c r="K22" s="35"/>
      <c r="L22" s="37"/>
      <c r="M22" s="142"/>
      <c r="N22" s="143"/>
      <c r="O22" s="144"/>
    </row>
    <row r="23" spans="1:27" s="15" customFormat="1" ht="15.75" customHeight="1" x14ac:dyDescent="0.25">
      <c r="A23" s="141"/>
      <c r="C23" s="309" t="s">
        <v>185</v>
      </c>
      <c r="D23" s="310"/>
      <c r="E23" s="251">
        <f ca="1">INDIRECT("Summary!j"&amp;(12+A1))</f>
        <v>0.1</v>
      </c>
      <c r="F23" s="321" t="s">
        <v>194</v>
      </c>
      <c r="G23" s="321"/>
      <c r="H23" s="322"/>
      <c r="J23" s="315" t="s">
        <v>183</v>
      </c>
      <c r="K23" s="316"/>
      <c r="L23" s="316"/>
      <c r="M23" s="316"/>
      <c r="N23" s="238">
        <f ca="1">INDIRECT("Summary!M"&amp;(12+A1))</f>
        <v>0.11421137545656934</v>
      </c>
      <c r="O23" s="144"/>
    </row>
    <row r="24" spans="1:27" s="15" customFormat="1" ht="15.75" customHeight="1" x14ac:dyDescent="0.25">
      <c r="A24" s="141"/>
      <c r="C24" s="338"/>
      <c r="D24" s="339"/>
      <c r="E24" s="284">
        <v>0.4</v>
      </c>
      <c r="F24" s="319" t="s">
        <v>46</v>
      </c>
      <c r="G24" s="319"/>
      <c r="H24" s="320"/>
      <c r="J24" s="239" t="s">
        <v>104</v>
      </c>
      <c r="K24" s="317" t="s">
        <v>44</v>
      </c>
      <c r="L24" s="317"/>
      <c r="M24" s="317"/>
      <c r="N24" s="240">
        <f ca="1">(N23/(N18-H18))*(N21-H21)</f>
        <v>2.4876667095549596</v>
      </c>
      <c r="O24" s="144"/>
    </row>
    <row r="25" spans="1:27" s="15" customFormat="1" ht="15.75" customHeight="1" x14ac:dyDescent="0.25">
      <c r="A25" s="141"/>
      <c r="C25" s="311" t="s">
        <v>187</v>
      </c>
      <c r="D25" s="312"/>
      <c r="E25" s="268">
        <f ca="1">SUM(U17:W18)</f>
        <v>3.7853907539728247</v>
      </c>
      <c r="F25" s="295" t="s">
        <v>44</v>
      </c>
      <c r="G25" s="295"/>
      <c r="H25" s="254"/>
      <c r="J25" s="241"/>
      <c r="K25" s="242"/>
      <c r="L25" s="243"/>
      <c r="M25" s="244"/>
      <c r="N25" s="245"/>
      <c r="O25" s="144"/>
    </row>
    <row r="26" spans="1:27" x14ac:dyDescent="0.25">
      <c r="C26" s="338" t="s">
        <v>188</v>
      </c>
      <c r="D26" s="339"/>
      <c r="E26" s="252">
        <f ca="1">INDIRECT("Summary!K"&amp;(12+A1))</f>
        <v>0</v>
      </c>
      <c r="F26" s="319" t="s">
        <v>195</v>
      </c>
      <c r="G26" s="319"/>
      <c r="H26" s="320"/>
    </row>
    <row r="27" spans="1:27" x14ac:dyDescent="0.25">
      <c r="C27" s="338"/>
      <c r="D27" s="339"/>
      <c r="E27" s="284">
        <v>0.4</v>
      </c>
      <c r="F27" s="319" t="s">
        <v>46</v>
      </c>
      <c r="G27" s="319"/>
      <c r="H27" s="320"/>
    </row>
    <row r="28" spans="1:27" x14ac:dyDescent="0.25">
      <c r="C28" s="334" t="s">
        <v>187</v>
      </c>
      <c r="D28" s="335"/>
      <c r="E28" s="285">
        <f ca="1">SUM(U19:W20)</f>
        <v>0</v>
      </c>
      <c r="F28" s="255" t="s">
        <v>44</v>
      </c>
      <c r="G28" s="255"/>
      <c r="H28" s="256"/>
    </row>
    <row r="29" spans="1:27" x14ac:dyDescent="0.25">
      <c r="C29" s="259" t="s">
        <v>190</v>
      </c>
      <c r="D29" s="249"/>
      <c r="E29" s="257">
        <f ca="1">(E23*SUM(D6:D7)+E26*SUM(D12:D13))/SUM(D6:D7,D12:D13)</f>
        <v>0.1</v>
      </c>
      <c r="F29" s="258" t="s">
        <v>189</v>
      </c>
      <c r="G29" s="258"/>
      <c r="H29" s="250"/>
    </row>
    <row r="30" spans="1:27" x14ac:dyDescent="0.25">
      <c r="C30" s="336" t="s">
        <v>187</v>
      </c>
      <c r="D30" s="337"/>
      <c r="E30" s="260">
        <f ca="1">SUM(E25,E28)</f>
        <v>3.7853907539728247</v>
      </c>
      <c r="F30" s="246" t="s">
        <v>44</v>
      </c>
      <c r="G30" s="247"/>
      <c r="H30" s="248"/>
    </row>
  </sheetData>
  <mergeCells count="28">
    <mergeCell ref="C30:D30"/>
    <mergeCell ref="C25:D25"/>
    <mergeCell ref="C26:D26"/>
    <mergeCell ref="F26:H26"/>
    <mergeCell ref="C27:D27"/>
    <mergeCell ref="F27:H27"/>
    <mergeCell ref="C28:D28"/>
    <mergeCell ref="C22:H22"/>
    <mergeCell ref="C23:D23"/>
    <mergeCell ref="F23:H23"/>
    <mergeCell ref="J23:M23"/>
    <mergeCell ref="C24:D24"/>
    <mergeCell ref="F24:H24"/>
    <mergeCell ref="K24:M24"/>
    <mergeCell ref="V4:Y4"/>
    <mergeCell ref="C21:D21"/>
    <mergeCell ref="F21:G21"/>
    <mergeCell ref="J21:K21"/>
    <mergeCell ref="C1:H1"/>
    <mergeCell ref="E2:H2"/>
    <mergeCell ref="E3:H3"/>
    <mergeCell ref="D4:H4"/>
    <mergeCell ref="J4:N4"/>
    <mergeCell ref="C17:H17"/>
    <mergeCell ref="J17:N17"/>
    <mergeCell ref="F18:G18"/>
    <mergeCell ref="F19:G19"/>
    <mergeCell ref="F20:G20"/>
  </mergeCells>
  <dataValidations count="1">
    <dataValidation type="decimal" allowBlank="1" showInputMessage="1" showErrorMessage="1" sqref="N23">
      <formula1>H18</formula1>
      <formula2>N18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Events!$B$3:$B$9</xm:f>
          </x14:formula1>
          <xm:sqref>C4:C5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30"/>
  <sheetViews>
    <sheetView showGridLines="0" workbookViewId="0">
      <pane ySplit="3" topLeftCell="A4" activePane="bottomLeft" state="frozen"/>
      <selection pane="bottomLeft" activeCell="R17" sqref="R17:W20"/>
    </sheetView>
  </sheetViews>
  <sheetFormatPr defaultRowHeight="15" x14ac:dyDescent="0.25"/>
  <cols>
    <col min="1" max="2" width="2" bestFit="1" customWidth="1"/>
    <col min="3" max="3" width="29.140625" bestFit="1" customWidth="1"/>
    <col min="4" max="4" width="10" bestFit="1" customWidth="1"/>
    <col min="5" max="5" width="8.7109375" customWidth="1"/>
    <col min="6" max="6" width="9" customWidth="1"/>
    <col min="7" max="7" width="9.85546875" customWidth="1"/>
    <col min="8" max="8" width="7.140625" bestFit="1" customWidth="1"/>
    <col min="9" max="9" width="4.7109375" customWidth="1"/>
    <col min="10" max="10" width="27.28515625" customWidth="1"/>
    <col min="11" max="11" width="11" customWidth="1"/>
    <col min="12" max="12" width="7.5703125" bestFit="1" customWidth="1"/>
    <col min="13" max="13" width="7.42578125" bestFit="1" customWidth="1"/>
    <col min="14" max="14" width="8.28515625" bestFit="1" customWidth="1"/>
    <col min="15" max="15" width="5.28515625" customWidth="1"/>
    <col min="16" max="16" width="2" bestFit="1" customWidth="1"/>
    <col min="17" max="17" width="27.42578125" bestFit="1" customWidth="1"/>
    <col min="18" max="18" width="6.7109375" bestFit="1" customWidth="1"/>
    <col min="19" max="19" width="7" bestFit="1" customWidth="1"/>
    <col min="20" max="27" width="7" customWidth="1"/>
    <col min="28" max="28" width="6" bestFit="1" customWidth="1"/>
    <col min="29" max="29" width="7" bestFit="1" customWidth="1"/>
    <col min="30" max="30" width="5" bestFit="1" customWidth="1"/>
    <col min="31" max="31" width="6" bestFit="1" customWidth="1"/>
  </cols>
  <sheetData>
    <row r="1" spans="1:31" s="8" customFormat="1" ht="19.5" customHeight="1" x14ac:dyDescent="0.25">
      <c r="A1" s="9">
        <v>3</v>
      </c>
      <c r="C1" s="326" t="str">
        <f>VLOOKUP(A1,LANDCOVER,2)</f>
        <v>CRABTREE CREEK</v>
      </c>
      <c r="D1" s="326"/>
      <c r="E1" s="326"/>
      <c r="F1" s="326"/>
      <c r="G1" s="326"/>
      <c r="H1" s="326"/>
    </row>
    <row r="2" spans="1:31" s="15" customFormat="1" ht="15.75" x14ac:dyDescent="0.25">
      <c r="A2" s="14"/>
      <c r="C2" s="17" t="s">
        <v>98</v>
      </c>
      <c r="D2" s="18" t="s">
        <v>32</v>
      </c>
      <c r="E2" s="314" t="s">
        <v>26</v>
      </c>
      <c r="F2" s="314"/>
      <c r="G2" s="314"/>
      <c r="H2" s="314"/>
    </row>
    <row r="3" spans="1:31" s="21" customFormat="1" ht="15.75" customHeight="1" x14ac:dyDescent="0.25">
      <c r="A3" s="20"/>
      <c r="C3" s="65" t="str">
        <f ca="1">INDIRECT("Summary!I"&amp;(12+A1))</f>
        <v>5 yr / 24 hour                               </v>
      </c>
      <c r="D3" s="22">
        <f ca="1">VLOOKUP($C$3,Events!$B$3:$D$9,2,FALSE)</f>
        <v>4.38</v>
      </c>
      <c r="E3" s="313" t="str">
        <f ca="1">VLOOKUP($C$3,Events!$B$3:$D$9,3,FALSE)</f>
        <v>Site ID: 31-4782</v>
      </c>
      <c r="F3" s="313"/>
      <c r="G3" s="313"/>
      <c r="H3" s="313"/>
    </row>
    <row r="4" spans="1:31" s="33" customFormat="1" x14ac:dyDescent="0.25">
      <c r="A4" s="32"/>
      <c r="C4" s="34"/>
      <c r="D4" s="327" t="s">
        <v>42</v>
      </c>
      <c r="E4" s="327"/>
      <c r="F4" s="327"/>
      <c r="G4" s="327"/>
      <c r="H4" s="327"/>
      <c r="J4" s="324" t="s">
        <v>45</v>
      </c>
      <c r="K4" s="324"/>
      <c r="L4" s="324"/>
      <c r="M4" s="324"/>
      <c r="N4" s="324"/>
      <c r="Q4" s="190" t="s">
        <v>171</v>
      </c>
      <c r="V4" s="325" t="s">
        <v>173</v>
      </c>
      <c r="W4" s="325"/>
      <c r="X4" s="325"/>
      <c r="Y4" s="325"/>
    </row>
    <row r="5" spans="1:31" s="15" customFormat="1" ht="25.5" x14ac:dyDescent="0.25">
      <c r="A5" s="14"/>
      <c r="C5" s="16"/>
      <c r="D5" s="3" t="s">
        <v>23</v>
      </c>
      <c r="E5" s="3" t="s">
        <v>31</v>
      </c>
      <c r="F5" s="19" t="s">
        <v>29</v>
      </c>
      <c r="G5" s="19" t="s">
        <v>95</v>
      </c>
      <c r="H5" s="19" t="s">
        <v>96</v>
      </c>
      <c r="J5" s="16" t="s">
        <v>23</v>
      </c>
      <c r="K5" s="3" t="s">
        <v>23</v>
      </c>
      <c r="L5" s="3" t="s">
        <v>31</v>
      </c>
      <c r="M5" s="19" t="s">
        <v>30</v>
      </c>
      <c r="N5" s="19" t="s">
        <v>96</v>
      </c>
      <c r="Q5" s="186" t="s">
        <v>165</v>
      </c>
      <c r="R5" s="178" t="s">
        <v>167</v>
      </c>
      <c r="S5" s="184" t="s">
        <v>20</v>
      </c>
      <c r="T5" s="184" t="s">
        <v>168</v>
      </c>
      <c r="U5" s="184" t="s">
        <v>19</v>
      </c>
      <c r="V5" s="209" t="s">
        <v>167</v>
      </c>
      <c r="W5" s="209" t="s">
        <v>20</v>
      </c>
      <c r="X5" s="209" t="s">
        <v>168</v>
      </c>
      <c r="Y5" s="209" t="s">
        <v>19</v>
      </c>
      <c r="Z5" s="184"/>
      <c r="AA5" s="184"/>
      <c r="AB5" s="184" t="s">
        <v>169</v>
      </c>
      <c r="AC5" s="175" t="s">
        <v>170</v>
      </c>
      <c r="AD5" s="184" t="s">
        <v>168</v>
      </c>
      <c r="AE5" s="175" t="s">
        <v>172</v>
      </c>
    </row>
    <row r="6" spans="1:31" s="15" customFormat="1" x14ac:dyDescent="0.2">
      <c r="A6" s="25"/>
      <c r="C6" s="5" t="s">
        <v>118</v>
      </c>
      <c r="D6" s="28">
        <f>VLOOKUP($A$1,LANDCOVER,3)</f>
        <v>13.865768807025427</v>
      </c>
      <c r="E6" s="198">
        <f>D6/$D$15</f>
        <v>0.31838427625494348</v>
      </c>
      <c r="F6" s="191">
        <f t="shared" ref="F6:F14" ca="1" si="0">IF(D6&gt;0,IF($D$3&lt;0.05*S6,0,($D$3-T6)^2/($D$3-A6+S6)),0)</f>
        <v>1.3577453131858799</v>
      </c>
      <c r="G6" s="28">
        <f ca="1">D6*$F6*43560/12/1000</f>
        <v>68.339042879591602</v>
      </c>
      <c r="H6" s="28">
        <f ca="1">IFERROR(($Y6/$U6-1)*G6,0)</f>
        <v>11.859602041171959</v>
      </c>
      <c r="J6" s="5" t="s">
        <v>118</v>
      </c>
      <c r="K6" s="28">
        <f>VLOOKUP($A$1,LANDCOVERPOT,3)</f>
        <v>21.579873749155055</v>
      </c>
      <c r="L6" s="29">
        <f>K6/$K$15</f>
        <v>0.49551471547806158</v>
      </c>
      <c r="M6" s="28">
        <f ca="1">K6*$F6*43560/12/1000</f>
        <v>106.35889996467156</v>
      </c>
      <c r="N6" s="28">
        <f ca="1">IFERROR(($Y6/$U6-1)*M6,0)</f>
        <v>18.457592819089847</v>
      </c>
      <c r="P6" s="176">
        <v>1</v>
      </c>
      <c r="Q6" s="192" t="str">
        <f t="shared" ref="Q6:Q14" si="1">C6</f>
        <v>Tree Canopy</v>
      </c>
      <c r="R6" s="193">
        <f t="shared" ref="R6:R14" si="2">VLOOKUP($A$1,CompositeCN,$P6+1)</f>
        <v>69.477051009755556</v>
      </c>
      <c r="S6" s="194">
        <f>IFERROR(1000/R6-10,0)</f>
        <v>4.3932418757898333</v>
      </c>
      <c r="T6" s="194">
        <f>0.2*S6+ModelCi</f>
        <v>0.92864837515796672</v>
      </c>
      <c r="U6" s="194">
        <f t="shared" ref="U6:U14" ca="1" si="3">IF(D6&gt;0,IF($D$3&lt;0.05*S6,0,($D$3-T6)^2/($D$3-A6+S6)),0)</f>
        <v>1.3577453131858799</v>
      </c>
      <c r="V6" s="203">
        <f>R6-CNadj</f>
        <v>71.477051009755556</v>
      </c>
      <c r="W6" s="204">
        <f>IFERROR(1000/V6-10,0)</f>
        <v>3.9905044468540662</v>
      </c>
      <c r="X6" s="204">
        <f t="shared" ref="X6:X7" si="4">0.2*W6</f>
        <v>0.79810088937081325</v>
      </c>
      <c r="Y6" s="205">
        <f ca="1">IF(D6&gt;0,IF($D$3&lt;0.05*W6,0,($D$3-X6)^2/($D$3-E6+W6)),0)</f>
        <v>1.5933693197442103</v>
      </c>
      <c r="Z6" s="202"/>
      <c r="AA6" s="202"/>
      <c r="AB6" s="187">
        <f>0.05*S6</f>
        <v>0.21966209378949167</v>
      </c>
      <c r="AC6" s="188">
        <f>1.33*S6^1.15</f>
        <v>7.2954909446919185</v>
      </c>
      <c r="AD6" s="189">
        <f>0.05+ModelCi</f>
        <v>0.1</v>
      </c>
      <c r="AE6" s="188">
        <f>AD6*S6</f>
        <v>0.43932418757898334</v>
      </c>
    </row>
    <row r="7" spans="1:31" s="15" customFormat="1" x14ac:dyDescent="0.2">
      <c r="A7" s="25"/>
      <c r="C7" s="5" t="s">
        <v>119</v>
      </c>
      <c r="D7" s="28">
        <f>VLOOKUP($A$1,LANDCOVER,4)</f>
        <v>0.11391512519449543</v>
      </c>
      <c r="E7" s="198">
        <f>D7/$D$15</f>
        <v>2.6157067231038964E-3</v>
      </c>
      <c r="F7" s="191">
        <f t="shared" ca="1" si="0"/>
        <v>3.7597312948807056</v>
      </c>
      <c r="G7" s="28">
        <f t="shared" ref="G7:G14" ca="1" si="5">D7*$F7*43560/12/1000</f>
        <v>1.5546936479890128</v>
      </c>
      <c r="H7" s="28">
        <f ca="1">($Y7/$U7-1)*G7</f>
        <v>0.14472204161746788</v>
      </c>
      <c r="J7" s="5" t="s">
        <v>119</v>
      </c>
      <c r="K7" s="28">
        <f>VLOOKUP($A$1,LANDCOVERPOT,4)</f>
        <v>1.0113982807398476</v>
      </c>
      <c r="L7" s="29">
        <f>K7/$K$15</f>
        <v>2.3223617391896413E-2</v>
      </c>
      <c r="M7" s="28">
        <f t="shared" ref="M7:M14" ca="1" si="6">K7*$F7*43560/12/1000</f>
        <v>13.803386336700713</v>
      </c>
      <c r="N7" s="28">
        <f ca="1">($Y7/$U7-1)*M7</f>
        <v>1.284918256703462</v>
      </c>
      <c r="P7" s="176">
        <v>2</v>
      </c>
      <c r="Q7" s="195" t="str">
        <f t="shared" si="1"/>
        <v>Tree Canopy over Impervious</v>
      </c>
      <c r="R7" s="196">
        <f t="shared" si="2"/>
        <v>96</v>
      </c>
      <c r="S7" s="197">
        <f t="shared" ref="S7:S14" si="7">IFERROR(1000/R7-10,0)</f>
        <v>0.41666666666666607</v>
      </c>
      <c r="T7" s="197">
        <f>0.2*S7+ModelCi</f>
        <v>0.13333333333333322</v>
      </c>
      <c r="U7" s="197">
        <f t="shared" ca="1" si="3"/>
        <v>3.7597312948807056</v>
      </c>
      <c r="V7" s="206">
        <f>R7-CNadj</f>
        <v>98</v>
      </c>
      <c r="W7" s="207">
        <f>IFERROR(1000/V7-10,0)</f>
        <v>0.20408163265306101</v>
      </c>
      <c r="X7" s="207">
        <f t="shared" si="4"/>
        <v>4.0816326530612207E-2</v>
      </c>
      <c r="Y7" s="208">
        <f ca="1">IF(D7&gt;0,IF($D$3&lt;0.05*W7,0,($D$3-X7)^2/($D$3-E7+W7)),0)</f>
        <v>4.1097140645614285</v>
      </c>
      <c r="Z7" s="185"/>
      <c r="AA7" s="185"/>
      <c r="AB7" s="187">
        <f t="shared" ref="AB7:AB14" si="8">0.05*S7</f>
        <v>2.0833333333333304E-2</v>
      </c>
      <c r="AC7" s="188">
        <f>1.33*S7^1.15</f>
        <v>0.48596916396643658</v>
      </c>
      <c r="AD7" s="189">
        <f>0.05+ModelCi</f>
        <v>0.1</v>
      </c>
      <c r="AE7" s="188">
        <f t="shared" ref="AE7:AE14" si="9">AD7*S7</f>
        <v>4.1666666666666609E-2</v>
      </c>
    </row>
    <row r="8" spans="1:31" s="15" customFormat="1" x14ac:dyDescent="0.2">
      <c r="A8" s="25"/>
      <c r="C8" s="5" t="s">
        <v>2</v>
      </c>
      <c r="D8" s="28">
        <f>VLOOKUP($A$1,LANDCOVER,5)</f>
        <v>11.869412415601722</v>
      </c>
      <c r="E8" s="198">
        <f>D8/$D$15</f>
        <v>0.27254415778215307</v>
      </c>
      <c r="F8" s="191">
        <f t="shared" ca="1" si="0"/>
        <v>1.4320097944091927</v>
      </c>
      <c r="G8" s="28">
        <f t="shared" ca="1" si="5"/>
        <v>61.699526843876193</v>
      </c>
      <c r="H8" s="199"/>
      <c r="J8" s="5" t="s">
        <v>2</v>
      </c>
      <c r="K8" s="28">
        <f>VLOOKUP($A$1,LANDCOVERPOT,5)</f>
        <v>4.1553074734720941</v>
      </c>
      <c r="L8" s="29">
        <f>K8/$K$15</f>
        <v>9.541371855903498E-2</v>
      </c>
      <c r="M8" s="28">
        <f t="shared" ca="1" si="6"/>
        <v>21.600100832881335</v>
      </c>
      <c r="N8" s="199"/>
      <c r="P8" s="176">
        <v>3</v>
      </c>
      <c r="Q8" s="175" t="str">
        <f t="shared" si="1"/>
        <v>Pervious</v>
      </c>
      <c r="R8" s="177">
        <f t="shared" si="2"/>
        <v>69.998043052837559</v>
      </c>
      <c r="S8" s="185">
        <f t="shared" si="7"/>
        <v>4.2861136738516628</v>
      </c>
      <c r="T8" s="185">
        <f t="shared" ref="T8:T14" si="10">0.2*S8</f>
        <v>0.85722273477033262</v>
      </c>
      <c r="U8" s="185">
        <f t="shared" ca="1" si="3"/>
        <v>1.4320097944091927</v>
      </c>
      <c r="V8" s="185"/>
      <c r="W8" s="185"/>
      <c r="X8" s="185"/>
      <c r="Y8" s="185"/>
      <c r="Z8" s="185"/>
      <c r="AA8" s="185"/>
      <c r="AB8" s="187">
        <f t="shared" si="8"/>
        <v>0.21430568369258315</v>
      </c>
      <c r="AC8" s="188">
        <f t="shared" ref="AC8:AC14" si="11">1.33*S8^1.15</f>
        <v>7.0912839971637087</v>
      </c>
      <c r="AD8" s="184">
        <f>0.05</f>
        <v>0.05</v>
      </c>
      <c r="AE8" s="188">
        <f t="shared" si="9"/>
        <v>0.21430568369258315</v>
      </c>
    </row>
    <row r="9" spans="1:31" s="15" customFormat="1" x14ac:dyDescent="0.2">
      <c r="A9" s="25"/>
      <c r="C9" s="5" t="s">
        <v>12</v>
      </c>
      <c r="D9" s="28">
        <f>VLOOKUP($A$1,LANDCOVER,6)</f>
        <v>0.69164519613751141</v>
      </c>
      <c r="E9" s="198">
        <f>D9/$D$15</f>
        <v>1.5881481817717587E-2</v>
      </c>
      <c r="F9" s="191">
        <f t="shared" ca="1" si="0"/>
        <v>4.38</v>
      </c>
      <c r="G9" s="28">
        <f t="shared" ca="1" si="5"/>
        <v>10.99674363146875</v>
      </c>
      <c r="H9" s="200"/>
      <c r="J9" s="5" t="s">
        <v>12</v>
      </c>
      <c r="K9" s="28">
        <f>VLOOKUP($A$1,LANDCOVERPOT,6)</f>
        <v>0.69164519613751141</v>
      </c>
      <c r="L9" s="29">
        <f>K9/$K$15</f>
        <v>1.5881481817717587E-2</v>
      </c>
      <c r="M9" s="28">
        <f t="shared" ca="1" si="6"/>
        <v>10.99674363146875</v>
      </c>
      <c r="N9" s="200"/>
      <c r="P9" s="176">
        <v>4</v>
      </c>
      <c r="Q9" s="175" t="str">
        <f t="shared" si="1"/>
        <v>Water</v>
      </c>
      <c r="R9" s="177">
        <f t="shared" si="2"/>
        <v>100</v>
      </c>
      <c r="S9" s="185">
        <f t="shared" si="7"/>
        <v>0</v>
      </c>
      <c r="T9" s="185">
        <f t="shared" si="10"/>
        <v>0</v>
      </c>
      <c r="U9" s="185">
        <f t="shared" ca="1" si="3"/>
        <v>4.38</v>
      </c>
      <c r="V9" s="185"/>
      <c r="W9" s="185"/>
      <c r="X9" s="185"/>
      <c r="Y9" s="185"/>
      <c r="Z9" s="185"/>
      <c r="AA9" s="185"/>
      <c r="AB9" s="187">
        <f t="shared" si="8"/>
        <v>0</v>
      </c>
      <c r="AC9" s="188">
        <f t="shared" si="11"/>
        <v>0</v>
      </c>
      <c r="AD9" s="184"/>
      <c r="AE9" s="188">
        <f t="shared" si="9"/>
        <v>0</v>
      </c>
    </row>
    <row r="10" spans="1:31" s="15" customFormat="1" x14ac:dyDescent="0.2">
      <c r="A10" s="25"/>
      <c r="C10" s="5" t="s">
        <v>4</v>
      </c>
      <c r="D10" s="28">
        <f>VLOOKUP($A$1,LANDCOVER,7)</f>
        <v>12.131343072231147</v>
      </c>
      <c r="E10" s="198">
        <f>D10/$D$15</f>
        <v>0.27855858105002751</v>
      </c>
      <c r="F10" s="191">
        <f t="shared" ca="1" si="0"/>
        <v>4.1073690350505805</v>
      </c>
      <c r="G10" s="28">
        <f t="shared" ca="1" si="5"/>
        <v>180.87528748510104</v>
      </c>
      <c r="H10" s="200"/>
      <c r="J10" s="5" t="s">
        <v>4</v>
      </c>
      <c r="K10" s="28">
        <f>VLOOKUP($A$1,LANDCOVERPOT,7)</f>
        <v>11.233859916685795</v>
      </c>
      <c r="L10" s="29">
        <f>K10/$K$15</f>
        <v>0.25795067038123504</v>
      </c>
      <c r="M10" s="28">
        <f t="shared" ca="1" si="6"/>
        <v>167.49403836818479</v>
      </c>
      <c r="N10" s="200"/>
      <c r="P10" s="176">
        <v>5</v>
      </c>
      <c r="Q10" s="175" t="str">
        <f t="shared" si="1"/>
        <v>Impervious</v>
      </c>
      <c r="R10" s="177">
        <f t="shared" si="2"/>
        <v>98</v>
      </c>
      <c r="S10" s="185">
        <f t="shared" si="7"/>
        <v>0.20408163265306101</v>
      </c>
      <c r="T10" s="185">
        <f t="shared" si="10"/>
        <v>4.0816326530612207E-2</v>
      </c>
      <c r="U10" s="185">
        <f t="shared" ca="1" si="3"/>
        <v>4.1073690350505805</v>
      </c>
      <c r="V10" s="185"/>
      <c r="W10" s="185"/>
      <c r="X10" s="185"/>
      <c r="Y10" s="185"/>
      <c r="Z10" s="185"/>
      <c r="AA10" s="185"/>
      <c r="AB10" s="187">
        <f t="shared" si="8"/>
        <v>1.0204081632653052E-2</v>
      </c>
      <c r="AC10" s="188">
        <f t="shared" si="11"/>
        <v>0.2138583190676947</v>
      </c>
      <c r="AD10" s="184">
        <f>0.05</f>
        <v>0.05</v>
      </c>
      <c r="AE10" s="188">
        <f t="shared" si="9"/>
        <v>1.0204081632653052E-2</v>
      </c>
    </row>
    <row r="11" spans="1:31" s="15" customFormat="1" x14ac:dyDescent="0.2">
      <c r="A11" s="25"/>
      <c r="C11" s="5" t="s">
        <v>9</v>
      </c>
      <c r="D11" s="28">
        <f>VLOOKUP($A$1,LANDCOVER,8)</f>
        <v>4.8783349275265255</v>
      </c>
      <c r="E11" s="198">
        <f t="shared" ref="E11:E14" si="12">D11/$D$15</f>
        <v>0.11201579637205447</v>
      </c>
      <c r="F11" s="191">
        <f t="shared" ca="1" si="0"/>
        <v>3.5330859298435353</v>
      </c>
      <c r="G11" s="28">
        <f t="shared" ca="1" si="5"/>
        <v>62.565142671434955</v>
      </c>
      <c r="H11" s="200"/>
      <c r="J11" s="5" t="s">
        <v>9</v>
      </c>
      <c r="K11" s="28">
        <f>VLOOKUP($A$1,LANDCOVERPOT,8)</f>
        <v>4.8783349275265255</v>
      </c>
      <c r="L11" s="29"/>
      <c r="M11" s="28">
        <f t="shared" ca="1" si="6"/>
        <v>62.565142671434955</v>
      </c>
      <c r="N11" s="200"/>
      <c r="P11" s="176">
        <v>6</v>
      </c>
      <c r="Q11" s="175" t="str">
        <f t="shared" si="1"/>
        <v>Bare Earth</v>
      </c>
      <c r="R11" s="177">
        <f t="shared" si="2"/>
        <v>93.40865335900294</v>
      </c>
      <c r="S11" s="185">
        <f t="shared" si="7"/>
        <v>0.70564625481368992</v>
      </c>
      <c r="T11" s="185">
        <f t="shared" si="10"/>
        <v>0.14112925096273798</v>
      </c>
      <c r="U11" s="185">
        <f t="shared" ca="1" si="3"/>
        <v>3.5330859298435353</v>
      </c>
      <c r="V11" s="185"/>
      <c r="W11" s="185"/>
      <c r="X11" s="185"/>
      <c r="Y11" s="185"/>
      <c r="Z11" s="185"/>
      <c r="AA11" s="185"/>
      <c r="AB11" s="187">
        <f t="shared" si="8"/>
        <v>3.5282312740684496E-2</v>
      </c>
      <c r="AC11" s="188">
        <f t="shared" si="11"/>
        <v>0.89069033135216658</v>
      </c>
      <c r="AD11" s="184">
        <f>0.05</f>
        <v>0.05</v>
      </c>
      <c r="AE11" s="188">
        <f t="shared" si="9"/>
        <v>3.5282312740684496E-2</v>
      </c>
    </row>
    <row r="12" spans="1:31" s="15" customFormat="1" x14ac:dyDescent="0.2">
      <c r="A12" s="25"/>
      <c r="C12" s="5" t="s">
        <v>120</v>
      </c>
      <c r="D12" s="28">
        <f>VLOOKUP($A$1,LANDCOVER,9)</f>
        <v>0</v>
      </c>
      <c r="E12" s="198">
        <f t="shared" si="12"/>
        <v>0</v>
      </c>
      <c r="F12" s="191">
        <f t="shared" si="0"/>
        <v>0</v>
      </c>
      <c r="G12" s="28">
        <f t="shared" si="5"/>
        <v>0</v>
      </c>
      <c r="H12" s="28">
        <f>IFERROR(($Y12/$U12-1)*G12,0)</f>
        <v>0</v>
      </c>
      <c r="J12" s="5" t="s">
        <v>120</v>
      </c>
      <c r="K12" s="28">
        <f>VLOOKUP($A$1,LANDCOVERPOT,9)</f>
        <v>0</v>
      </c>
      <c r="L12" s="29"/>
      <c r="M12" s="28">
        <f t="shared" si="6"/>
        <v>0</v>
      </c>
      <c r="N12" s="28">
        <f>IFERROR(($Y12/$U12-1)*M12,0)</f>
        <v>0</v>
      </c>
      <c r="P12" s="176">
        <v>7</v>
      </c>
      <c r="Q12" s="175" t="str">
        <f t="shared" si="1"/>
        <v>Forested Open Space</v>
      </c>
      <c r="R12" s="177" t="str">
        <f t="shared" si="2"/>
        <v/>
      </c>
      <c r="S12" s="185">
        <f t="shared" si="7"/>
        <v>0</v>
      </c>
      <c r="T12" s="185">
        <f t="shared" si="10"/>
        <v>0</v>
      </c>
      <c r="U12" s="185">
        <f t="shared" si="3"/>
        <v>0</v>
      </c>
      <c r="V12" s="185"/>
      <c r="W12" s="185"/>
      <c r="X12" s="185"/>
      <c r="Y12" s="185"/>
      <c r="Z12" s="185"/>
      <c r="AA12" s="185"/>
      <c r="AB12" s="187">
        <f t="shared" si="8"/>
        <v>0</v>
      </c>
      <c r="AC12" s="188">
        <f t="shared" si="11"/>
        <v>0</v>
      </c>
      <c r="AD12" s="184">
        <f>0.05</f>
        <v>0.05</v>
      </c>
      <c r="AE12" s="188">
        <f t="shared" si="9"/>
        <v>0</v>
      </c>
    </row>
    <row r="13" spans="1:31" s="15" customFormat="1" x14ac:dyDescent="0.2">
      <c r="A13" s="25"/>
      <c r="C13" s="5" t="s">
        <v>121</v>
      </c>
      <c r="D13" s="28">
        <f>VLOOKUP($A$1,LANDCOVER,10)</f>
        <v>0</v>
      </c>
      <c r="E13" s="198">
        <f t="shared" si="12"/>
        <v>0</v>
      </c>
      <c r="F13" s="191">
        <f t="shared" si="0"/>
        <v>0</v>
      </c>
      <c r="G13" s="28">
        <f t="shared" si="5"/>
        <v>0</v>
      </c>
      <c r="H13" s="28">
        <f>IFERROR(($Y13/$U13-1)*G13,0)</f>
        <v>0</v>
      </c>
      <c r="J13" s="5" t="s">
        <v>121</v>
      </c>
      <c r="K13" s="28">
        <f>VLOOKUP($A$1,LANDCOVERPOT,10)</f>
        <v>0</v>
      </c>
      <c r="L13" s="29">
        <f>K13/$K$15</f>
        <v>0</v>
      </c>
      <c r="M13" s="28">
        <f t="shared" si="6"/>
        <v>0</v>
      </c>
      <c r="N13" s="28">
        <f>IFERROR(($Y13/$U13-1)*M13,0)</f>
        <v>0</v>
      </c>
      <c r="P13" s="176">
        <v>8</v>
      </c>
      <c r="Q13" s="175" t="str">
        <f t="shared" si="1"/>
        <v>Forested Wetlands</v>
      </c>
      <c r="R13" s="177" t="str">
        <f t="shared" si="2"/>
        <v/>
      </c>
      <c r="S13" s="185">
        <f t="shared" si="7"/>
        <v>0</v>
      </c>
      <c r="T13" s="185">
        <f t="shared" si="10"/>
        <v>0</v>
      </c>
      <c r="U13" s="185">
        <f t="shared" si="3"/>
        <v>0</v>
      </c>
      <c r="V13" s="185"/>
      <c r="W13" s="185"/>
      <c r="X13" s="185"/>
      <c r="Y13" s="185"/>
      <c r="Z13" s="185"/>
      <c r="AA13" s="185"/>
      <c r="AB13" s="187">
        <f t="shared" si="8"/>
        <v>0</v>
      </c>
      <c r="AC13" s="188">
        <f t="shared" si="11"/>
        <v>0</v>
      </c>
      <c r="AD13" s="184">
        <f>0.05</f>
        <v>0.05</v>
      </c>
      <c r="AE13" s="188">
        <f t="shared" si="9"/>
        <v>0</v>
      </c>
    </row>
    <row r="14" spans="1:31" s="15" customFormat="1" x14ac:dyDescent="0.2">
      <c r="A14" s="25"/>
      <c r="C14" s="5" t="s">
        <v>7</v>
      </c>
      <c r="D14" s="28">
        <f>VLOOKUP($A$1,LANDCOVER,11)</f>
        <v>0</v>
      </c>
      <c r="E14" s="198">
        <f t="shared" si="12"/>
        <v>0</v>
      </c>
      <c r="F14" s="191">
        <f t="shared" si="0"/>
        <v>0</v>
      </c>
      <c r="G14" s="28">
        <f t="shared" si="5"/>
        <v>0</v>
      </c>
      <c r="H14" s="201"/>
      <c r="J14" s="5" t="s">
        <v>7</v>
      </c>
      <c r="K14" s="28">
        <f>VLOOKUP($A$1,LANDCOVERPOT,11)</f>
        <v>0</v>
      </c>
      <c r="L14" s="29">
        <f>K14/$K$15</f>
        <v>0</v>
      </c>
      <c r="M14" s="28">
        <f t="shared" si="6"/>
        <v>0</v>
      </c>
      <c r="N14" s="201"/>
      <c r="P14" s="176">
        <v>9</v>
      </c>
      <c r="Q14" s="175" t="str">
        <f t="shared" si="1"/>
        <v>Wetlands</v>
      </c>
      <c r="R14" s="177" t="str">
        <f t="shared" si="2"/>
        <v/>
      </c>
      <c r="S14" s="185">
        <f t="shared" si="7"/>
        <v>0</v>
      </c>
      <c r="T14" s="185">
        <f t="shared" si="10"/>
        <v>0</v>
      </c>
      <c r="U14" s="185">
        <f t="shared" si="3"/>
        <v>0</v>
      </c>
      <c r="V14" s="185"/>
      <c r="W14" s="185"/>
      <c r="X14" s="185"/>
      <c r="Y14" s="185"/>
      <c r="Z14" s="185"/>
      <c r="AA14" s="185"/>
      <c r="AB14" s="187">
        <f t="shared" si="8"/>
        <v>0</v>
      </c>
      <c r="AC14" s="188">
        <f t="shared" si="11"/>
        <v>0</v>
      </c>
      <c r="AD14" s="184">
        <f>0.05</f>
        <v>0.05</v>
      </c>
      <c r="AE14" s="188">
        <f t="shared" si="9"/>
        <v>0</v>
      </c>
    </row>
    <row r="15" spans="1:31" x14ac:dyDescent="0.25">
      <c r="C15" s="30" t="s">
        <v>38</v>
      </c>
      <c r="D15" s="26">
        <f>SUM(D6:D14)</f>
        <v>43.550419543716828</v>
      </c>
      <c r="E15" s="27"/>
      <c r="F15" s="27"/>
      <c r="G15" s="26">
        <f ca="1">SUM(G6:G14)</f>
        <v>386.03043715946154</v>
      </c>
      <c r="H15" s="26">
        <f ca="1">SUM(H6:H14)</f>
        <v>12.004324082789427</v>
      </c>
      <c r="J15" s="30" t="s">
        <v>38</v>
      </c>
      <c r="K15" s="26">
        <f>SUM(K6:K14)</f>
        <v>43.550419543716828</v>
      </c>
      <c r="L15" s="26"/>
      <c r="M15" s="26">
        <f ca="1">SUM(M6:M14)</f>
        <v>382.81831180534209</v>
      </c>
      <c r="N15" s="26">
        <f ca="1">SUM(N6:N14)</f>
        <v>19.74251107579331</v>
      </c>
      <c r="S15" s="183"/>
      <c r="T15" s="183"/>
      <c r="U15" s="183"/>
      <c r="V15" s="183"/>
      <c r="W15" s="183"/>
      <c r="X15" s="183"/>
      <c r="Y15" s="183"/>
      <c r="Z15" s="183"/>
      <c r="AA15" s="183"/>
    </row>
    <row r="16" spans="1:31" ht="16.5" thickBot="1" x14ac:dyDescent="0.3">
      <c r="C16" s="210"/>
      <c r="D16" s="211"/>
      <c r="E16" s="212"/>
      <c r="F16" s="212"/>
      <c r="G16" s="211"/>
      <c r="J16" s="210"/>
      <c r="K16" s="211"/>
      <c r="L16" s="211"/>
      <c r="M16" s="211"/>
      <c r="N16" s="213"/>
      <c r="Q16" s="261" t="s">
        <v>191</v>
      </c>
      <c r="R16" s="261" t="s">
        <v>18</v>
      </c>
      <c r="S16" s="262" t="s">
        <v>17</v>
      </c>
      <c r="T16" s="262" t="s">
        <v>21</v>
      </c>
      <c r="U16" s="261" t="s">
        <v>18</v>
      </c>
      <c r="V16" s="262" t="s">
        <v>17</v>
      </c>
      <c r="W16" s="262" t="s">
        <v>21</v>
      </c>
      <c r="X16" s="183"/>
      <c r="Y16" s="183"/>
      <c r="Z16" s="183"/>
      <c r="AA16" s="183"/>
    </row>
    <row r="17" spans="1:27" ht="15.75" customHeight="1" x14ac:dyDescent="0.25">
      <c r="C17" s="323" t="s">
        <v>176</v>
      </c>
      <c r="D17" s="323"/>
      <c r="E17" s="323"/>
      <c r="F17" s="323"/>
      <c r="G17" s="323"/>
      <c r="H17" s="323"/>
      <c r="J17" s="323" t="s">
        <v>176</v>
      </c>
      <c r="K17" s="323"/>
      <c r="L17" s="323"/>
      <c r="M17" s="323"/>
      <c r="N17" s="323"/>
      <c r="Q17" s="263" t="s">
        <v>118</v>
      </c>
      <c r="R17" s="264">
        <f ca="1">MAX(0,U8-U6)</f>
        <v>7.4264481223312862E-2</v>
      </c>
      <c r="S17" s="265">
        <f ca="1">U10-U6</f>
        <v>2.7496237218647006</v>
      </c>
      <c r="T17" s="269"/>
      <c r="U17" s="272">
        <f ca="1">(E23*D6)*(1-E24)*R17*LossCF</f>
        <v>1.6777017985177183E-3</v>
      </c>
      <c r="V17" s="273">
        <f ca="1">(E23*D6)*(E24)*S17*LossCF</f>
        <v>4.1410991162320519E-2</v>
      </c>
      <c r="W17" s="274"/>
      <c r="X17" s="183"/>
      <c r="Y17" s="183"/>
      <c r="Z17" s="183"/>
      <c r="AA17" s="183"/>
    </row>
    <row r="18" spans="1:27" ht="15" customHeight="1" thickBot="1" x14ac:dyDescent="0.3">
      <c r="C18" s="215" t="s">
        <v>40</v>
      </c>
      <c r="D18" s="216"/>
      <c r="E18" s="230"/>
      <c r="F18" s="330" t="s">
        <v>178</v>
      </c>
      <c r="G18" s="330"/>
      <c r="H18" s="217">
        <f>SUM(D6:D7,D12:D13)/SUM(D15,-D9)</f>
        <v>0.32618020802103276</v>
      </c>
      <c r="J18" s="215" t="s">
        <v>40</v>
      </c>
      <c r="K18" s="216"/>
      <c r="L18" s="216"/>
      <c r="M18" s="228" t="s">
        <v>43</v>
      </c>
      <c r="N18" s="217">
        <f>SUM(K6:K7,K12:K13)/SUM(K15,-K9)</f>
        <v>0.52710961463065897</v>
      </c>
      <c r="Q18" s="263" t="s">
        <v>119</v>
      </c>
      <c r="R18" s="267"/>
      <c r="S18" s="264">
        <f ca="1">U10-U7</f>
        <v>0.34763774016987492</v>
      </c>
      <c r="T18" s="270"/>
      <c r="U18" s="286"/>
      <c r="V18" s="275">
        <f ca="1">E23*D7*LossCF</f>
        <v>3.093284071521335E-4</v>
      </c>
      <c r="W18" s="287"/>
    </row>
    <row r="19" spans="1:27" s="15" customFormat="1" ht="15.75" customHeight="1" x14ac:dyDescent="0.25">
      <c r="A19" s="4"/>
      <c r="C19" s="218" t="s">
        <v>41</v>
      </c>
      <c r="D19" s="219"/>
      <c r="E19" s="219"/>
      <c r="F19" s="332" t="s">
        <v>178</v>
      </c>
      <c r="G19" s="332"/>
      <c r="H19" s="220">
        <f>D10/SUM(D15,-D9)</f>
        <v>0.28305389635847883</v>
      </c>
      <c r="J19" s="218" t="s">
        <v>41</v>
      </c>
      <c r="K19" s="219"/>
      <c r="L19" s="219"/>
      <c r="M19" s="229" t="s">
        <v>177</v>
      </c>
      <c r="N19" s="220">
        <f>K10/SUM(K15,-K9)</f>
        <v>0.26211341989345266</v>
      </c>
      <c r="Q19" s="263" t="s">
        <v>120</v>
      </c>
      <c r="R19" s="266">
        <f ca="1">U8-U12</f>
        <v>1.4320097944091927</v>
      </c>
      <c r="S19" s="266">
        <f ca="1">U10-U12</f>
        <v>4.1073690350505805</v>
      </c>
      <c r="T19" s="271"/>
      <c r="U19" s="272">
        <f ca="1">E26*D12*(1-E27)*R19*LossCF</f>
        <v>0</v>
      </c>
      <c r="V19" s="273">
        <f ca="1">E26*D12*(E27)*R19*LossCF</f>
        <v>0</v>
      </c>
      <c r="W19" s="274"/>
    </row>
    <row r="20" spans="1:27" s="15" customFormat="1" ht="15.75" customHeight="1" thickBot="1" x14ac:dyDescent="0.3">
      <c r="A20" s="4"/>
      <c r="C20" s="221" t="s">
        <v>174</v>
      </c>
      <c r="D20" s="222"/>
      <c r="E20" s="33"/>
      <c r="F20" s="333">
        <v>0</v>
      </c>
      <c r="G20" s="333"/>
      <c r="H20" s="223">
        <f ca="1">H15/G15</f>
        <v>3.1096833117930229E-2</v>
      </c>
      <c r="J20" s="221" t="s">
        <v>174</v>
      </c>
      <c r="K20" s="222"/>
      <c r="L20" s="33"/>
      <c r="M20" s="227" t="s">
        <v>43</v>
      </c>
      <c r="N20" s="223">
        <f ca="1">N15/M15</f>
        <v>5.1571490879548383E-2</v>
      </c>
      <c r="Q20" s="263" t="s">
        <v>121</v>
      </c>
      <c r="R20" s="279"/>
      <c r="S20" s="280">
        <f ca="1">U10-U13</f>
        <v>4.1073690350505805</v>
      </c>
      <c r="T20" s="281">
        <f>U14-U13</f>
        <v>0</v>
      </c>
      <c r="U20" s="277"/>
      <c r="V20" s="275">
        <f ca="1">E26*D13*E27*S20*LossCF</f>
        <v>0</v>
      </c>
      <c r="W20" s="276">
        <f ca="1">E26*D13*(1-E27)*S20*LossCF</f>
        <v>0</v>
      </c>
    </row>
    <row r="21" spans="1:27" s="15" customFormat="1" ht="15.75" customHeight="1" x14ac:dyDescent="0.25">
      <c r="A21" s="141"/>
      <c r="C21" s="328" t="s">
        <v>175</v>
      </c>
      <c r="D21" s="329"/>
      <c r="E21" s="21"/>
      <c r="F21" s="331" t="str">
        <f ca="1">C3</f>
        <v>5 yr / 24 hour                               </v>
      </c>
      <c r="G21" s="331"/>
      <c r="H21" s="224">
        <f ca="1">H15*7.48052/1000</f>
        <v>8.9798586387787968E-2</v>
      </c>
      <c r="J21" s="328" t="s">
        <v>175</v>
      </c>
      <c r="K21" s="329"/>
      <c r="L21" s="225" t="s">
        <v>43</v>
      </c>
      <c r="M21" s="226" t="s">
        <v>43</v>
      </c>
      <c r="N21" s="224">
        <f ca="1">N15*7.48052/1000</f>
        <v>0.14768424895269336</v>
      </c>
      <c r="O21" s="144"/>
      <c r="Q21" s="278">
        <f>43560/12/1000*7.48052/1000</f>
        <v>2.71542876E-2</v>
      </c>
      <c r="R21" s="282"/>
      <c r="S21" s="283"/>
      <c r="T21" s="283"/>
      <c r="U21" s="21"/>
      <c r="V21" s="21"/>
      <c r="W21" s="288"/>
    </row>
    <row r="22" spans="1:27" s="15" customFormat="1" ht="15.75" customHeight="1" x14ac:dyDescent="0.25">
      <c r="A22" s="141"/>
      <c r="C22" s="318" t="s">
        <v>186</v>
      </c>
      <c r="D22" s="318"/>
      <c r="E22" s="318"/>
      <c r="F22" s="318"/>
      <c r="G22" s="318"/>
      <c r="H22" s="318"/>
      <c r="J22" s="35"/>
      <c r="K22" s="35"/>
      <c r="L22" s="37"/>
      <c r="M22" s="142"/>
      <c r="N22" s="143"/>
      <c r="O22" s="144"/>
    </row>
    <row r="23" spans="1:27" s="15" customFormat="1" ht="15.75" customHeight="1" x14ac:dyDescent="0.25">
      <c r="A23" s="141"/>
      <c r="C23" s="309" t="s">
        <v>185</v>
      </c>
      <c r="D23" s="310"/>
      <c r="E23" s="251">
        <f ca="1">INDIRECT("Summary!j"&amp;(12+A1))</f>
        <v>0.1</v>
      </c>
      <c r="F23" s="321" t="s">
        <v>194</v>
      </c>
      <c r="G23" s="321"/>
      <c r="H23" s="322"/>
      <c r="J23" s="315" t="s">
        <v>183</v>
      </c>
      <c r="K23" s="316"/>
      <c r="L23" s="316"/>
      <c r="M23" s="316"/>
      <c r="N23" s="238">
        <f ca="1">INDIRECT("Summary!M"&amp;(12+A1))</f>
        <v>0.20092940660962622</v>
      </c>
      <c r="O23" s="144"/>
    </row>
    <row r="24" spans="1:27" s="15" customFormat="1" ht="15.75" customHeight="1" x14ac:dyDescent="0.25">
      <c r="A24" s="141"/>
      <c r="C24" s="338"/>
      <c r="D24" s="339"/>
      <c r="E24" s="284">
        <v>0.4</v>
      </c>
      <c r="F24" s="319" t="s">
        <v>46</v>
      </c>
      <c r="G24" s="319"/>
      <c r="H24" s="320"/>
      <c r="J24" s="239" t="s">
        <v>104</v>
      </c>
      <c r="K24" s="317" t="s">
        <v>44</v>
      </c>
      <c r="L24" s="317"/>
      <c r="M24" s="317"/>
      <c r="N24" s="240">
        <f ca="1">(N23/(N18-H18))*(N21-H21)</f>
        <v>5.7885662564905391E-2</v>
      </c>
      <c r="O24" s="144"/>
    </row>
    <row r="25" spans="1:27" s="15" customFormat="1" ht="15.75" customHeight="1" x14ac:dyDescent="0.25">
      <c r="A25" s="141"/>
      <c r="C25" s="311" t="s">
        <v>187</v>
      </c>
      <c r="D25" s="312"/>
      <c r="E25" s="268">
        <f ca="1">SUM(U17:W18)</f>
        <v>4.3398021367990376E-2</v>
      </c>
      <c r="F25" s="295" t="s">
        <v>44</v>
      </c>
      <c r="G25" s="295"/>
      <c r="H25" s="254"/>
      <c r="J25" s="241"/>
      <c r="K25" s="242"/>
      <c r="L25" s="243"/>
      <c r="M25" s="244"/>
      <c r="N25" s="245"/>
      <c r="O25" s="144"/>
    </row>
    <row r="26" spans="1:27" x14ac:dyDescent="0.25">
      <c r="C26" s="338" t="s">
        <v>188</v>
      </c>
      <c r="D26" s="339"/>
      <c r="E26" s="252">
        <f ca="1">INDIRECT("Summary!K"&amp;(12+A1))</f>
        <v>0</v>
      </c>
      <c r="F26" s="319" t="s">
        <v>195</v>
      </c>
      <c r="G26" s="319"/>
      <c r="H26" s="320"/>
    </row>
    <row r="27" spans="1:27" x14ac:dyDescent="0.25">
      <c r="C27" s="338"/>
      <c r="D27" s="339"/>
      <c r="E27" s="284">
        <v>0.4</v>
      </c>
      <c r="F27" s="319" t="s">
        <v>46</v>
      </c>
      <c r="G27" s="319"/>
      <c r="H27" s="320"/>
    </row>
    <row r="28" spans="1:27" x14ac:dyDescent="0.25">
      <c r="C28" s="334" t="s">
        <v>187</v>
      </c>
      <c r="D28" s="335"/>
      <c r="E28" s="285">
        <f ca="1">SUM(U19:W20)</f>
        <v>0</v>
      </c>
      <c r="F28" s="255" t="s">
        <v>44</v>
      </c>
      <c r="G28" s="255"/>
      <c r="H28" s="256"/>
    </row>
    <row r="29" spans="1:27" x14ac:dyDescent="0.25">
      <c r="C29" s="259" t="s">
        <v>190</v>
      </c>
      <c r="D29" s="249"/>
      <c r="E29" s="257">
        <f ca="1">(E23*SUM(D6:D7)+E26*SUM(D12:D13))/SUM(D6:D7,D12:D13)</f>
        <v>0.10000000000000002</v>
      </c>
      <c r="F29" s="258" t="s">
        <v>189</v>
      </c>
      <c r="G29" s="258"/>
      <c r="H29" s="250"/>
    </row>
    <row r="30" spans="1:27" x14ac:dyDescent="0.25">
      <c r="C30" s="336" t="s">
        <v>187</v>
      </c>
      <c r="D30" s="337"/>
      <c r="E30" s="260">
        <f ca="1">SUM(E25,E28)</f>
        <v>4.3398021367990376E-2</v>
      </c>
      <c r="F30" s="246" t="s">
        <v>44</v>
      </c>
      <c r="G30" s="247"/>
      <c r="H30" s="248"/>
    </row>
  </sheetData>
  <mergeCells count="28">
    <mergeCell ref="C30:D30"/>
    <mergeCell ref="C25:D25"/>
    <mergeCell ref="C26:D26"/>
    <mergeCell ref="F26:H26"/>
    <mergeCell ref="C27:D27"/>
    <mergeCell ref="F27:H27"/>
    <mergeCell ref="C28:D28"/>
    <mergeCell ref="C22:H22"/>
    <mergeCell ref="C23:D23"/>
    <mergeCell ref="F23:H23"/>
    <mergeCell ref="J23:M23"/>
    <mergeCell ref="C24:D24"/>
    <mergeCell ref="F24:H24"/>
    <mergeCell ref="K24:M24"/>
    <mergeCell ref="V4:Y4"/>
    <mergeCell ref="C21:D21"/>
    <mergeCell ref="F21:G21"/>
    <mergeCell ref="J21:K21"/>
    <mergeCell ref="C1:H1"/>
    <mergeCell ref="E2:H2"/>
    <mergeCell ref="E3:H3"/>
    <mergeCell ref="D4:H4"/>
    <mergeCell ref="J4:N4"/>
    <mergeCell ref="C17:H17"/>
    <mergeCell ref="J17:N17"/>
    <mergeCell ref="F18:G18"/>
    <mergeCell ref="F19:G19"/>
    <mergeCell ref="F20:G20"/>
  </mergeCells>
  <dataValidations count="1">
    <dataValidation type="decimal" allowBlank="1" showInputMessage="1" showErrorMessage="1" sqref="N23">
      <formula1>H18</formula1>
      <formula2>N18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Events!$B$3:$B$9</xm:f>
          </x14:formula1>
          <xm:sqref>C4:C5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30"/>
  <sheetViews>
    <sheetView showGridLines="0" workbookViewId="0">
      <pane ySplit="3" topLeftCell="A4" activePane="bottomLeft" state="frozen"/>
      <selection pane="bottomLeft" activeCell="R17" sqref="R17:W20"/>
    </sheetView>
  </sheetViews>
  <sheetFormatPr defaultRowHeight="15" x14ac:dyDescent="0.25"/>
  <cols>
    <col min="1" max="2" width="2" bestFit="1" customWidth="1"/>
    <col min="3" max="3" width="29.140625" bestFit="1" customWidth="1"/>
    <col min="4" max="4" width="10" bestFit="1" customWidth="1"/>
    <col min="5" max="5" width="8.7109375" customWidth="1"/>
    <col min="6" max="6" width="9" customWidth="1"/>
    <col min="7" max="7" width="9.85546875" customWidth="1"/>
    <col min="8" max="8" width="7.140625" bestFit="1" customWidth="1"/>
    <col min="9" max="9" width="4.7109375" customWidth="1"/>
    <col min="10" max="10" width="27.28515625" customWidth="1"/>
    <col min="11" max="11" width="11" customWidth="1"/>
    <col min="12" max="12" width="7.5703125" bestFit="1" customWidth="1"/>
    <col min="13" max="13" width="7.42578125" bestFit="1" customWidth="1"/>
    <col min="14" max="14" width="8.28515625" bestFit="1" customWidth="1"/>
    <col min="15" max="15" width="5.28515625" customWidth="1"/>
    <col min="16" max="16" width="2" bestFit="1" customWidth="1"/>
    <col min="17" max="17" width="27.42578125" bestFit="1" customWidth="1"/>
    <col min="18" max="18" width="6.7109375" bestFit="1" customWidth="1"/>
    <col min="19" max="19" width="7" bestFit="1" customWidth="1"/>
    <col min="20" max="27" width="7" customWidth="1"/>
    <col min="28" max="28" width="6" bestFit="1" customWidth="1"/>
    <col min="29" max="29" width="7" bestFit="1" customWidth="1"/>
    <col min="30" max="30" width="5" bestFit="1" customWidth="1"/>
    <col min="31" max="31" width="6" bestFit="1" customWidth="1"/>
  </cols>
  <sheetData>
    <row r="1" spans="1:31" s="8" customFormat="1" ht="19.5" customHeight="1" x14ac:dyDescent="0.25">
      <c r="A1" s="9">
        <v>4</v>
      </c>
      <c r="C1" s="326" t="str">
        <f>VLOOKUP(A1,LANDCOVER,2)</f>
        <v>MIDDLE CREEK</v>
      </c>
      <c r="D1" s="326"/>
      <c r="E1" s="326"/>
      <c r="F1" s="326"/>
      <c r="G1" s="326"/>
      <c r="H1" s="326"/>
    </row>
    <row r="2" spans="1:31" s="15" customFormat="1" ht="15.75" x14ac:dyDescent="0.25">
      <c r="A2" s="14"/>
      <c r="C2" s="17" t="s">
        <v>98</v>
      </c>
      <c r="D2" s="18" t="s">
        <v>32</v>
      </c>
      <c r="E2" s="314" t="s">
        <v>26</v>
      </c>
      <c r="F2" s="314"/>
      <c r="G2" s="314"/>
      <c r="H2" s="314"/>
    </row>
    <row r="3" spans="1:31" s="21" customFormat="1" ht="15.75" customHeight="1" x14ac:dyDescent="0.25">
      <c r="A3" s="20"/>
      <c r="C3" s="65" t="str">
        <f ca="1">INDIRECT("Summary!I"&amp;(12+A1))</f>
        <v>5 yr / 24 hour                               </v>
      </c>
      <c r="D3" s="22">
        <f ca="1">VLOOKUP($C$3,Events!$B$3:$D$9,2,FALSE)</f>
        <v>4.38</v>
      </c>
      <c r="E3" s="313" t="str">
        <f ca="1">VLOOKUP($C$3,Events!$B$3:$D$9,3,FALSE)</f>
        <v>Site ID: 31-4782</v>
      </c>
      <c r="F3" s="313"/>
      <c r="G3" s="313"/>
      <c r="H3" s="313"/>
    </row>
    <row r="4" spans="1:31" s="33" customFormat="1" x14ac:dyDescent="0.25">
      <c r="A4" s="32"/>
      <c r="C4" s="34"/>
      <c r="D4" s="327" t="s">
        <v>42</v>
      </c>
      <c r="E4" s="327"/>
      <c r="F4" s="327"/>
      <c r="G4" s="327"/>
      <c r="H4" s="327"/>
      <c r="J4" s="324" t="s">
        <v>45</v>
      </c>
      <c r="K4" s="324"/>
      <c r="L4" s="324"/>
      <c r="M4" s="324"/>
      <c r="N4" s="324"/>
      <c r="Q4" s="190" t="s">
        <v>171</v>
      </c>
      <c r="V4" s="325" t="s">
        <v>173</v>
      </c>
      <c r="W4" s="325"/>
      <c r="X4" s="325"/>
      <c r="Y4" s="325"/>
    </row>
    <row r="5" spans="1:31" s="15" customFormat="1" ht="25.5" x14ac:dyDescent="0.25">
      <c r="A5" s="14"/>
      <c r="C5" s="16"/>
      <c r="D5" s="3" t="s">
        <v>23</v>
      </c>
      <c r="E5" s="3" t="s">
        <v>31</v>
      </c>
      <c r="F5" s="19" t="s">
        <v>29</v>
      </c>
      <c r="G5" s="19" t="s">
        <v>95</v>
      </c>
      <c r="H5" s="19" t="s">
        <v>96</v>
      </c>
      <c r="J5" s="16" t="s">
        <v>23</v>
      </c>
      <c r="K5" s="3" t="s">
        <v>23</v>
      </c>
      <c r="L5" s="3" t="s">
        <v>31</v>
      </c>
      <c r="M5" s="19" t="s">
        <v>30</v>
      </c>
      <c r="N5" s="19" t="s">
        <v>96</v>
      </c>
      <c r="Q5" s="186" t="s">
        <v>165</v>
      </c>
      <c r="R5" s="178" t="s">
        <v>167</v>
      </c>
      <c r="S5" s="184" t="s">
        <v>20</v>
      </c>
      <c r="T5" s="184" t="s">
        <v>168</v>
      </c>
      <c r="U5" s="184" t="s">
        <v>19</v>
      </c>
      <c r="V5" s="209" t="s">
        <v>167</v>
      </c>
      <c r="W5" s="209" t="s">
        <v>20</v>
      </c>
      <c r="X5" s="209" t="s">
        <v>168</v>
      </c>
      <c r="Y5" s="209" t="s">
        <v>19</v>
      </c>
      <c r="Z5" s="184"/>
      <c r="AA5" s="184"/>
      <c r="AB5" s="184" t="s">
        <v>169</v>
      </c>
      <c r="AC5" s="175" t="s">
        <v>170</v>
      </c>
      <c r="AD5" s="184" t="s">
        <v>168</v>
      </c>
      <c r="AE5" s="175" t="s">
        <v>172</v>
      </c>
    </row>
    <row r="6" spans="1:31" s="15" customFormat="1" x14ac:dyDescent="0.2">
      <c r="A6" s="25"/>
      <c r="C6" s="5" t="s">
        <v>118</v>
      </c>
      <c r="D6" s="28">
        <f>VLOOKUP($A$1,LANDCOVER,3)</f>
        <v>537.87830995442096</v>
      </c>
      <c r="E6" s="198">
        <f>D6/$D$15</f>
        <v>0.35257184822172499</v>
      </c>
      <c r="F6" s="191">
        <f t="shared" ref="F6:F14" ca="1" si="0">IF(D6&gt;0,IF($D$3&lt;0.05*S6,0,($D$3-T6)^2/($D$3-A6+S6)),0)</f>
        <v>1.2508547271587676</v>
      </c>
      <c r="G6" s="28">
        <f ca="1">D6*$F6*43560/12/1000</f>
        <v>2442.2916847128422</v>
      </c>
      <c r="H6" s="28">
        <f ca="1">IFERROR(($Y6/$U6-1)*G6,0)</f>
        <v>443.33625469756709</v>
      </c>
      <c r="J6" s="5" t="s">
        <v>118</v>
      </c>
      <c r="K6" s="28">
        <f>VLOOKUP($A$1,LANDCOVERPOT,3)</f>
        <v>720.73037161667162</v>
      </c>
      <c r="L6" s="29">
        <f>K6/$K$15</f>
        <v>0.47242886446183979</v>
      </c>
      <c r="M6" s="28">
        <f ca="1">K6*$F6*43560/12/1000</f>
        <v>3272.5502422073005</v>
      </c>
      <c r="N6" s="28">
        <f ca="1">IFERROR(($Y6/$U6-1)*M6,0)</f>
        <v>594.048686637684</v>
      </c>
      <c r="P6" s="176">
        <v>1</v>
      </c>
      <c r="Q6" s="192" t="str">
        <f t="shared" ref="Q6:Q14" si="1">C6</f>
        <v>Tree Canopy</v>
      </c>
      <c r="R6" s="193">
        <f t="shared" ref="R6:R14" si="2">VLOOKUP($A$1,CompositeCN,$P6+1)</f>
        <v>67.789377038941666</v>
      </c>
      <c r="S6" s="194">
        <f>IFERROR(1000/R6-10,0)</f>
        <v>4.7515738258746527</v>
      </c>
      <c r="T6" s="194">
        <f>0.2*S6+ModelCi</f>
        <v>1.0003147651749307</v>
      </c>
      <c r="U6" s="194">
        <f t="shared" ref="U6:U14" ca="1" si="3">IF(D6&gt;0,IF($D$3&lt;0.05*S6,0,($D$3-T6)^2/($D$3-A6+S6)),0)</f>
        <v>1.2508547271587676</v>
      </c>
      <c r="V6" s="203">
        <f>R6-CNadj</f>
        <v>69.789377038941666</v>
      </c>
      <c r="W6" s="204">
        <f>IFERROR(1000/V6-10,0)</f>
        <v>4.3288282891823435</v>
      </c>
      <c r="X6" s="204">
        <f t="shared" ref="X6:X7" si="4">0.2*W6</f>
        <v>0.86576565783646875</v>
      </c>
      <c r="Y6" s="205">
        <f ca="1">IF(D6&gt;0,IF($D$3&lt;0.05*W6,0,($D$3-X6)^2/($D$3-E6+W6)),0)</f>
        <v>1.4779157507786869</v>
      </c>
      <c r="Z6" s="202"/>
      <c r="AA6" s="202"/>
      <c r="AB6" s="187">
        <f>0.05*S6</f>
        <v>0.23757869129373266</v>
      </c>
      <c r="AC6" s="188">
        <f>1.33*S6^1.15</f>
        <v>7.9838936729544452</v>
      </c>
      <c r="AD6" s="189">
        <f>0.05+ModelCi</f>
        <v>0.1</v>
      </c>
      <c r="AE6" s="188">
        <f>AD6*S6</f>
        <v>0.47515738258746532</v>
      </c>
    </row>
    <row r="7" spans="1:31" s="15" customFormat="1" x14ac:dyDescent="0.2">
      <c r="A7" s="25"/>
      <c r="C7" s="5" t="s">
        <v>119</v>
      </c>
      <c r="D7" s="28">
        <f>VLOOKUP($A$1,LANDCOVER,4)</f>
        <v>13.583081381380087</v>
      </c>
      <c r="E7" s="198">
        <f>D7/$D$15</f>
        <v>8.9035233779646041E-3</v>
      </c>
      <c r="F7" s="191">
        <f t="shared" ca="1" si="0"/>
        <v>3.7597312948807056</v>
      </c>
      <c r="G7" s="28">
        <f t="shared" ref="G7:G14" ca="1" si="5">D7*$F7*43560/12/1000</f>
        <v>185.37951222626472</v>
      </c>
      <c r="H7" s="28">
        <f ca="1">($Y7/$U7-1)*G7</f>
        <v>17.534944553094331</v>
      </c>
      <c r="J7" s="5" t="s">
        <v>119</v>
      </c>
      <c r="K7" s="28">
        <f>VLOOKUP($A$1,LANDCOVERPOT,4)</f>
        <v>42.468102302172596</v>
      </c>
      <c r="L7" s="29">
        <f>K7/$K$15</f>
        <v>2.7837258060127171E-2</v>
      </c>
      <c r="M7" s="28">
        <f t="shared" ref="M7:M14" ca="1" si="6">K7*$F7*43560/12/1000</f>
        <v>579.5972113326153</v>
      </c>
      <c r="N7" s="28">
        <f ca="1">($Y7/$U7-1)*M7</f>
        <v>54.823776596417076</v>
      </c>
      <c r="P7" s="176">
        <v>2</v>
      </c>
      <c r="Q7" s="195" t="str">
        <f t="shared" si="1"/>
        <v>Tree Canopy over Impervious</v>
      </c>
      <c r="R7" s="196">
        <f t="shared" si="2"/>
        <v>96</v>
      </c>
      <c r="S7" s="197">
        <f t="shared" ref="S7:S14" si="7">IFERROR(1000/R7-10,0)</f>
        <v>0.41666666666666607</v>
      </c>
      <c r="T7" s="197">
        <f>0.2*S7+ModelCi</f>
        <v>0.13333333333333322</v>
      </c>
      <c r="U7" s="197">
        <f t="shared" ca="1" si="3"/>
        <v>3.7597312948807056</v>
      </c>
      <c r="V7" s="206">
        <f>R7-CNadj</f>
        <v>98</v>
      </c>
      <c r="W7" s="207">
        <f>IFERROR(1000/V7-10,0)</f>
        <v>0.20408163265306101</v>
      </c>
      <c r="X7" s="207">
        <f t="shared" si="4"/>
        <v>4.0816326530612207E-2</v>
      </c>
      <c r="Y7" s="208">
        <f ca="1">IF(D7&gt;0,IF($D$3&lt;0.05*W7,0,($D$3-X7)^2/($D$3-E7+W7)),0)</f>
        <v>4.1153621787822665</v>
      </c>
      <c r="Z7" s="185"/>
      <c r="AA7" s="185"/>
      <c r="AB7" s="187">
        <f t="shared" ref="AB7:AB14" si="8">0.05*S7</f>
        <v>2.0833333333333304E-2</v>
      </c>
      <c r="AC7" s="188">
        <f>1.33*S7^1.15</f>
        <v>0.48596916396643658</v>
      </c>
      <c r="AD7" s="189">
        <f>0.05+ModelCi</f>
        <v>0.1</v>
      </c>
      <c r="AE7" s="188">
        <f t="shared" ref="AE7:AE14" si="9">AD7*S7</f>
        <v>4.1666666666666609E-2</v>
      </c>
    </row>
    <row r="8" spans="1:31" s="15" customFormat="1" x14ac:dyDescent="0.2">
      <c r="A8" s="25"/>
      <c r="C8" s="5" t="s">
        <v>2</v>
      </c>
      <c r="D8" s="28">
        <f>VLOOKUP($A$1,LANDCOVER,5)</f>
        <v>316.07715965137476</v>
      </c>
      <c r="E8" s="198">
        <f>D8/$D$15</f>
        <v>0.20718423906775807</v>
      </c>
      <c r="F8" s="191">
        <f t="shared" ca="1" si="0"/>
        <v>1.2609025788337451</v>
      </c>
      <c r="G8" s="28">
        <f t="shared" ca="1" si="5"/>
        <v>1446.7092957449556</v>
      </c>
      <c r="H8" s="199"/>
      <c r="J8" s="5" t="s">
        <v>2</v>
      </c>
      <c r="K8" s="28">
        <f>VLOOKUP($A$1,LANDCOVERPOT,5)</f>
        <v>133.22509798912415</v>
      </c>
      <c r="L8" s="29">
        <f>K8/$K$15</f>
        <v>8.7327222827643311E-2</v>
      </c>
      <c r="M8" s="28">
        <f t="shared" ca="1" si="6"/>
        <v>609.78144672011013</v>
      </c>
      <c r="N8" s="199"/>
      <c r="P8" s="176">
        <v>3</v>
      </c>
      <c r="Q8" s="175" t="str">
        <f t="shared" si="1"/>
        <v>Pervious</v>
      </c>
      <c r="R8" s="177">
        <f t="shared" si="2"/>
        <v>67.357399634849969</v>
      </c>
      <c r="S8" s="185">
        <f t="shared" si="7"/>
        <v>4.8461788225359452</v>
      </c>
      <c r="T8" s="185">
        <f t="shared" ref="T8:T14" si="10">0.2*S8</f>
        <v>0.96923576450718907</v>
      </c>
      <c r="U8" s="185">
        <f t="shared" ca="1" si="3"/>
        <v>1.2609025788337451</v>
      </c>
      <c r="V8" s="185"/>
      <c r="W8" s="185"/>
      <c r="X8" s="185"/>
      <c r="Y8" s="185"/>
      <c r="Z8" s="185"/>
      <c r="AA8" s="185"/>
      <c r="AB8" s="187">
        <f t="shared" si="8"/>
        <v>0.24230894112679727</v>
      </c>
      <c r="AC8" s="188">
        <f t="shared" ref="AC8:AC14" si="11">1.33*S8^1.15</f>
        <v>8.1669705910686812</v>
      </c>
      <c r="AD8" s="184">
        <f>0.05</f>
        <v>0.05</v>
      </c>
      <c r="AE8" s="188">
        <f t="shared" si="9"/>
        <v>0.24230894112679727</v>
      </c>
    </row>
    <row r="9" spans="1:31" s="15" customFormat="1" x14ac:dyDescent="0.2">
      <c r="A9" s="25"/>
      <c r="C9" s="5" t="s">
        <v>12</v>
      </c>
      <c r="D9" s="28">
        <f>VLOOKUP($A$1,LANDCOVER,6)</f>
        <v>20.158282175957805</v>
      </c>
      <c r="E9" s="198">
        <f>D9/$D$15</f>
        <v>1.3213477234943266E-2</v>
      </c>
      <c r="F9" s="191">
        <f t="shared" ca="1" si="0"/>
        <v>4.38</v>
      </c>
      <c r="G9" s="28">
        <f t="shared" ca="1" si="5"/>
        <v>320.50459162842355</v>
      </c>
      <c r="H9" s="200"/>
      <c r="J9" s="5" t="s">
        <v>12</v>
      </c>
      <c r="K9" s="28">
        <f>VLOOKUP($A$1,LANDCOVERPOT,6)</f>
        <v>20.158282175957805</v>
      </c>
      <c r="L9" s="29">
        <f>K9/$K$15</f>
        <v>1.3213477234943266E-2</v>
      </c>
      <c r="M9" s="28">
        <f t="shared" ca="1" si="6"/>
        <v>320.50459162842355</v>
      </c>
      <c r="N9" s="200"/>
      <c r="P9" s="176">
        <v>4</v>
      </c>
      <c r="Q9" s="175" t="str">
        <f t="shared" si="1"/>
        <v>Water</v>
      </c>
      <c r="R9" s="177">
        <f t="shared" si="2"/>
        <v>100</v>
      </c>
      <c r="S9" s="185">
        <f t="shared" si="7"/>
        <v>0</v>
      </c>
      <c r="T9" s="185">
        <f t="shared" si="10"/>
        <v>0</v>
      </c>
      <c r="U9" s="185">
        <f t="shared" ca="1" si="3"/>
        <v>4.38</v>
      </c>
      <c r="V9" s="185"/>
      <c r="W9" s="185"/>
      <c r="X9" s="185"/>
      <c r="Y9" s="185"/>
      <c r="Z9" s="185"/>
      <c r="AA9" s="185"/>
      <c r="AB9" s="187">
        <f t="shared" si="8"/>
        <v>0</v>
      </c>
      <c r="AC9" s="188">
        <f t="shared" si="11"/>
        <v>0</v>
      </c>
      <c r="AD9" s="184"/>
      <c r="AE9" s="188">
        <f t="shared" si="9"/>
        <v>0</v>
      </c>
    </row>
    <row r="10" spans="1:31" s="15" customFormat="1" x14ac:dyDescent="0.2">
      <c r="A10" s="25"/>
      <c r="C10" s="5" t="s">
        <v>4</v>
      </c>
      <c r="D10" s="28">
        <f>VLOOKUP($A$1,LANDCOVER,7)</f>
        <v>531.21489289152555</v>
      </c>
      <c r="E10" s="198">
        <f>D10/$D$15</f>
        <v>0.34820406981189045</v>
      </c>
      <c r="F10" s="191">
        <f t="shared" ca="1" si="0"/>
        <v>4.1073690350505805</v>
      </c>
      <c r="G10" s="28">
        <f t="shared" ca="1" si="5"/>
        <v>7920.2810353339164</v>
      </c>
      <c r="H10" s="200"/>
      <c r="J10" s="5" t="s">
        <v>4</v>
      </c>
      <c r="K10" s="28">
        <f>VLOOKUP($A$1,LANDCOVERPOT,7)</f>
        <v>502.32987197073305</v>
      </c>
      <c r="L10" s="29">
        <f>K10/$K$15</f>
        <v>0.32927033512972786</v>
      </c>
      <c r="M10" s="28">
        <f t="shared" ca="1" si="6"/>
        <v>7489.6126062940475</v>
      </c>
      <c r="N10" s="200"/>
      <c r="P10" s="176">
        <v>5</v>
      </c>
      <c r="Q10" s="175" t="str">
        <f t="shared" si="1"/>
        <v>Impervious</v>
      </c>
      <c r="R10" s="177">
        <f t="shared" si="2"/>
        <v>98</v>
      </c>
      <c r="S10" s="185">
        <f t="shared" si="7"/>
        <v>0.20408163265306101</v>
      </c>
      <c r="T10" s="185">
        <f t="shared" si="10"/>
        <v>4.0816326530612207E-2</v>
      </c>
      <c r="U10" s="185">
        <f t="shared" ca="1" si="3"/>
        <v>4.1073690350505805</v>
      </c>
      <c r="V10" s="185"/>
      <c r="W10" s="185"/>
      <c r="X10" s="185"/>
      <c r="Y10" s="185"/>
      <c r="Z10" s="185"/>
      <c r="AA10" s="185"/>
      <c r="AB10" s="187">
        <f t="shared" si="8"/>
        <v>1.0204081632653052E-2</v>
      </c>
      <c r="AC10" s="188">
        <f t="shared" si="11"/>
        <v>0.2138583190676947</v>
      </c>
      <c r="AD10" s="184">
        <f>0.05</f>
        <v>0.05</v>
      </c>
      <c r="AE10" s="188">
        <f t="shared" si="9"/>
        <v>1.0204081632653052E-2</v>
      </c>
    </row>
    <row r="11" spans="1:31" s="15" customFormat="1" x14ac:dyDescent="0.2">
      <c r="A11" s="25"/>
      <c r="C11" s="5" t="s">
        <v>9</v>
      </c>
      <c r="D11" s="28">
        <f>VLOOKUP($A$1,LANDCOVER,8)</f>
        <v>106.67323674747792</v>
      </c>
      <c r="E11" s="198">
        <f t="shared" ref="E11:E14" si="12">D11/$D$15</f>
        <v>6.9922842285718739E-2</v>
      </c>
      <c r="F11" s="191">
        <f t="shared" ca="1" si="0"/>
        <v>2.9201351353345744</v>
      </c>
      <c r="G11" s="28">
        <f t="shared" ca="1" si="5"/>
        <v>1130.7459678530099</v>
      </c>
      <c r="H11" s="200"/>
      <c r="J11" s="5" t="s">
        <v>9</v>
      </c>
      <c r="K11" s="28">
        <f>VLOOKUP($A$1,LANDCOVERPOT,8)</f>
        <v>106.67323674747792</v>
      </c>
      <c r="L11" s="29"/>
      <c r="M11" s="28">
        <f t="shared" ca="1" si="6"/>
        <v>1130.7459678530099</v>
      </c>
      <c r="N11" s="200"/>
      <c r="P11" s="176">
        <v>6</v>
      </c>
      <c r="Q11" s="175" t="str">
        <f t="shared" si="1"/>
        <v>Bare Earth</v>
      </c>
      <c r="R11" s="177">
        <f t="shared" si="2"/>
        <v>87.834819795474758</v>
      </c>
      <c r="S11" s="185">
        <f t="shared" si="7"/>
        <v>1.3850065649194843</v>
      </c>
      <c r="T11" s="185">
        <f t="shared" si="10"/>
        <v>0.27700131298389685</v>
      </c>
      <c r="U11" s="185">
        <f t="shared" ca="1" si="3"/>
        <v>2.9201351353345744</v>
      </c>
      <c r="V11" s="185"/>
      <c r="W11" s="185"/>
      <c r="X11" s="185"/>
      <c r="Y11" s="185"/>
      <c r="Z11" s="185"/>
      <c r="AA11" s="185"/>
      <c r="AB11" s="187">
        <f t="shared" si="8"/>
        <v>6.9250328245974213E-2</v>
      </c>
      <c r="AC11" s="188">
        <f t="shared" si="11"/>
        <v>1.9342884907484679</v>
      </c>
      <c r="AD11" s="184">
        <f>0.05</f>
        <v>0.05</v>
      </c>
      <c r="AE11" s="188">
        <f t="shared" si="9"/>
        <v>6.9250328245974213E-2</v>
      </c>
    </row>
    <row r="12" spans="1:31" s="15" customFormat="1" x14ac:dyDescent="0.2">
      <c r="A12" s="25"/>
      <c r="C12" s="5" t="s">
        <v>120</v>
      </c>
      <c r="D12" s="28">
        <f>VLOOKUP($A$1,LANDCOVER,9)</f>
        <v>0</v>
      </c>
      <c r="E12" s="198">
        <f t="shared" si="12"/>
        <v>0</v>
      </c>
      <c r="F12" s="191">
        <f t="shared" si="0"/>
        <v>0</v>
      </c>
      <c r="G12" s="28">
        <f t="shared" si="5"/>
        <v>0</v>
      </c>
      <c r="H12" s="28">
        <f>IFERROR(($Y12/$U12-1)*G12,0)</f>
        <v>0</v>
      </c>
      <c r="J12" s="5" t="s">
        <v>120</v>
      </c>
      <c r="K12" s="28">
        <f>VLOOKUP($A$1,LANDCOVERPOT,9)</f>
        <v>0</v>
      </c>
      <c r="L12" s="29"/>
      <c r="M12" s="28">
        <f t="shared" si="6"/>
        <v>0</v>
      </c>
      <c r="N12" s="28">
        <f>IFERROR(($Y12/$U12-1)*M12,0)</f>
        <v>0</v>
      </c>
      <c r="P12" s="176">
        <v>7</v>
      </c>
      <c r="Q12" s="175" t="str">
        <f t="shared" si="1"/>
        <v>Forested Open Space</v>
      </c>
      <c r="R12" s="177" t="str">
        <f t="shared" si="2"/>
        <v/>
      </c>
      <c r="S12" s="185">
        <f t="shared" si="7"/>
        <v>0</v>
      </c>
      <c r="T12" s="185">
        <f t="shared" si="10"/>
        <v>0</v>
      </c>
      <c r="U12" s="185">
        <f t="shared" si="3"/>
        <v>0</v>
      </c>
      <c r="V12" s="185"/>
      <c r="W12" s="185"/>
      <c r="X12" s="185"/>
      <c r="Y12" s="185"/>
      <c r="Z12" s="185"/>
      <c r="AA12" s="185"/>
      <c r="AB12" s="187">
        <f t="shared" si="8"/>
        <v>0</v>
      </c>
      <c r="AC12" s="188">
        <f t="shared" si="11"/>
        <v>0</v>
      </c>
      <c r="AD12" s="184">
        <f>0.05</f>
        <v>0.05</v>
      </c>
      <c r="AE12" s="188">
        <f t="shared" si="9"/>
        <v>0</v>
      </c>
    </row>
    <row r="13" spans="1:31" s="15" customFormat="1" x14ac:dyDescent="0.2">
      <c r="A13" s="25"/>
      <c r="C13" s="5" t="s">
        <v>121</v>
      </c>
      <c r="D13" s="28">
        <f>VLOOKUP($A$1,LANDCOVER,10)</f>
        <v>0</v>
      </c>
      <c r="E13" s="198">
        <f t="shared" si="12"/>
        <v>0</v>
      </c>
      <c r="F13" s="191">
        <f t="shared" si="0"/>
        <v>0</v>
      </c>
      <c r="G13" s="28">
        <f t="shared" si="5"/>
        <v>0</v>
      </c>
      <c r="H13" s="28">
        <f>IFERROR(($Y13/$U13-1)*G13,0)</f>
        <v>0</v>
      </c>
      <c r="J13" s="5" t="s">
        <v>121</v>
      </c>
      <c r="K13" s="28">
        <f>VLOOKUP($A$1,LANDCOVERPOT,10)</f>
        <v>0</v>
      </c>
      <c r="L13" s="29">
        <f>K13/$K$15</f>
        <v>0</v>
      </c>
      <c r="M13" s="28">
        <f t="shared" si="6"/>
        <v>0</v>
      </c>
      <c r="N13" s="28">
        <f>IFERROR(($Y13/$U13-1)*M13,0)</f>
        <v>0</v>
      </c>
      <c r="P13" s="176">
        <v>8</v>
      </c>
      <c r="Q13" s="175" t="str">
        <f t="shared" si="1"/>
        <v>Forested Wetlands</v>
      </c>
      <c r="R13" s="177" t="str">
        <f t="shared" si="2"/>
        <v/>
      </c>
      <c r="S13" s="185">
        <f t="shared" si="7"/>
        <v>0</v>
      </c>
      <c r="T13" s="185">
        <f t="shared" si="10"/>
        <v>0</v>
      </c>
      <c r="U13" s="185">
        <f t="shared" si="3"/>
        <v>0</v>
      </c>
      <c r="V13" s="185"/>
      <c r="W13" s="185"/>
      <c r="X13" s="185"/>
      <c r="Y13" s="185"/>
      <c r="Z13" s="185"/>
      <c r="AA13" s="185"/>
      <c r="AB13" s="187">
        <f t="shared" si="8"/>
        <v>0</v>
      </c>
      <c r="AC13" s="188">
        <f t="shared" si="11"/>
        <v>0</v>
      </c>
      <c r="AD13" s="184">
        <f>0.05</f>
        <v>0.05</v>
      </c>
      <c r="AE13" s="188">
        <f t="shared" si="9"/>
        <v>0</v>
      </c>
    </row>
    <row r="14" spans="1:31" s="15" customFormat="1" x14ac:dyDescent="0.2">
      <c r="A14" s="25"/>
      <c r="C14" s="5" t="s">
        <v>7</v>
      </c>
      <c r="D14" s="28">
        <f>VLOOKUP($A$1,LANDCOVER,11)</f>
        <v>0</v>
      </c>
      <c r="E14" s="198">
        <f t="shared" si="12"/>
        <v>0</v>
      </c>
      <c r="F14" s="191">
        <f t="shared" si="0"/>
        <v>0</v>
      </c>
      <c r="G14" s="28">
        <f t="shared" si="5"/>
        <v>0</v>
      </c>
      <c r="H14" s="201"/>
      <c r="J14" s="5" t="s">
        <v>7</v>
      </c>
      <c r="K14" s="28">
        <f>VLOOKUP($A$1,LANDCOVERPOT,11)</f>
        <v>0</v>
      </c>
      <c r="L14" s="29">
        <f>K14/$K$15</f>
        <v>0</v>
      </c>
      <c r="M14" s="28">
        <f t="shared" si="6"/>
        <v>0</v>
      </c>
      <c r="N14" s="201"/>
      <c r="P14" s="176">
        <v>9</v>
      </c>
      <c r="Q14" s="175" t="str">
        <f t="shared" si="1"/>
        <v>Wetlands</v>
      </c>
      <c r="R14" s="177" t="str">
        <f t="shared" si="2"/>
        <v/>
      </c>
      <c r="S14" s="185">
        <f t="shared" si="7"/>
        <v>0</v>
      </c>
      <c r="T14" s="185">
        <f t="shared" si="10"/>
        <v>0</v>
      </c>
      <c r="U14" s="185">
        <f t="shared" si="3"/>
        <v>0</v>
      </c>
      <c r="V14" s="185"/>
      <c r="W14" s="185"/>
      <c r="X14" s="185"/>
      <c r="Y14" s="185"/>
      <c r="Z14" s="185"/>
      <c r="AA14" s="185"/>
      <c r="AB14" s="187">
        <f t="shared" si="8"/>
        <v>0</v>
      </c>
      <c r="AC14" s="188">
        <f t="shared" si="11"/>
        <v>0</v>
      </c>
      <c r="AD14" s="184">
        <f>0.05</f>
        <v>0.05</v>
      </c>
      <c r="AE14" s="188">
        <f t="shared" si="9"/>
        <v>0</v>
      </c>
    </row>
    <row r="15" spans="1:31" x14ac:dyDescent="0.25">
      <c r="C15" s="30" t="s">
        <v>38</v>
      </c>
      <c r="D15" s="26">
        <f>SUM(D6:D14)</f>
        <v>1525.5849628021369</v>
      </c>
      <c r="E15" s="27"/>
      <c r="F15" s="27"/>
      <c r="G15" s="26">
        <f ca="1">SUM(G6:G14)</f>
        <v>13445.912087499411</v>
      </c>
      <c r="H15" s="26">
        <f ca="1">SUM(H6:H14)</f>
        <v>460.87119925066139</v>
      </c>
      <c r="J15" s="30" t="s">
        <v>38</v>
      </c>
      <c r="K15" s="26">
        <f>SUM(K6:K14)</f>
        <v>1525.5849628021369</v>
      </c>
      <c r="L15" s="26"/>
      <c r="M15" s="26">
        <f ca="1">SUM(M6:M14)</f>
        <v>13402.792066035507</v>
      </c>
      <c r="N15" s="26">
        <f ca="1">SUM(N6:N14)</f>
        <v>648.87246323410113</v>
      </c>
      <c r="S15" s="183"/>
      <c r="T15" s="183"/>
      <c r="U15" s="183"/>
      <c r="V15" s="183"/>
      <c r="W15" s="183"/>
      <c r="X15" s="183"/>
      <c r="Y15" s="183"/>
      <c r="Z15" s="183"/>
      <c r="AA15" s="183"/>
    </row>
    <row r="16" spans="1:31" ht="16.5" thickBot="1" x14ac:dyDescent="0.3">
      <c r="C16" s="210"/>
      <c r="D16" s="211"/>
      <c r="E16" s="212"/>
      <c r="F16" s="212"/>
      <c r="G16" s="211"/>
      <c r="J16" s="210"/>
      <c r="K16" s="211"/>
      <c r="L16" s="211"/>
      <c r="M16" s="211"/>
      <c r="N16" s="213"/>
      <c r="Q16" s="261" t="s">
        <v>191</v>
      </c>
      <c r="R16" s="261" t="s">
        <v>18</v>
      </c>
      <c r="S16" s="262" t="s">
        <v>17</v>
      </c>
      <c r="T16" s="262" t="s">
        <v>21</v>
      </c>
      <c r="U16" s="261" t="s">
        <v>18</v>
      </c>
      <c r="V16" s="262" t="s">
        <v>17</v>
      </c>
      <c r="W16" s="262" t="s">
        <v>21</v>
      </c>
      <c r="X16" s="183"/>
      <c r="Y16" s="183"/>
      <c r="Z16" s="183"/>
      <c r="AA16" s="183"/>
    </row>
    <row r="17" spans="1:27" ht="15.75" customHeight="1" x14ac:dyDescent="0.25">
      <c r="C17" s="323" t="s">
        <v>176</v>
      </c>
      <c r="D17" s="323"/>
      <c r="E17" s="323"/>
      <c r="F17" s="323"/>
      <c r="G17" s="323"/>
      <c r="H17" s="323"/>
      <c r="J17" s="323" t="s">
        <v>176</v>
      </c>
      <c r="K17" s="323"/>
      <c r="L17" s="323"/>
      <c r="M17" s="323"/>
      <c r="N17" s="323"/>
      <c r="Q17" s="263" t="s">
        <v>118</v>
      </c>
      <c r="R17" s="264">
        <f ca="1">MAX(0,U8-U6)</f>
        <v>1.004785167497757E-2</v>
      </c>
      <c r="S17" s="265">
        <f ca="1">U10-U6</f>
        <v>2.8565143078918132</v>
      </c>
      <c r="T17" s="269"/>
      <c r="U17" s="272">
        <f ca="1">(E23*D6)*(1-E24)*R17*LossCF</f>
        <v>8.8053558326033378E-3</v>
      </c>
      <c r="V17" s="273">
        <f ca="1">(E23*D6)*(E24)*S17*LossCF</f>
        <v>1.6688559064188357</v>
      </c>
      <c r="W17" s="274"/>
      <c r="X17" s="183"/>
      <c r="Y17" s="183"/>
      <c r="Z17" s="183"/>
      <c r="AA17" s="183"/>
    </row>
    <row r="18" spans="1:27" ht="15" customHeight="1" thickBot="1" x14ac:dyDescent="0.3">
      <c r="C18" s="215" t="s">
        <v>40</v>
      </c>
      <c r="D18" s="216"/>
      <c r="E18" s="230"/>
      <c r="F18" s="330" t="s">
        <v>178</v>
      </c>
      <c r="G18" s="330"/>
      <c r="H18" s="217">
        <f>SUM(D6:D7,D12:D13)/SUM(D15,-D9)</f>
        <v>0.36631567543789101</v>
      </c>
      <c r="J18" s="215" t="s">
        <v>40</v>
      </c>
      <c r="K18" s="216"/>
      <c r="L18" s="216"/>
      <c r="M18" s="228" t="s">
        <v>43</v>
      </c>
      <c r="N18" s="217">
        <f>SUM(K6:K7,K12:K13)/SUM(K15,-K9)</f>
        <v>0.50696489157571811</v>
      </c>
      <c r="Q18" s="263" t="s">
        <v>119</v>
      </c>
      <c r="R18" s="267"/>
      <c r="S18" s="264">
        <f ca="1">U10-U7</f>
        <v>0.34763774016987492</v>
      </c>
      <c r="T18" s="270"/>
      <c r="U18" s="286"/>
      <c r="V18" s="275">
        <f ca="1">E23*D7*LossCF</f>
        <v>3.6883889832420018E-2</v>
      </c>
      <c r="W18" s="287"/>
    </row>
    <row r="19" spans="1:27" s="15" customFormat="1" ht="15.75" customHeight="1" x14ac:dyDescent="0.25">
      <c r="A19" s="4"/>
      <c r="C19" s="218" t="s">
        <v>41</v>
      </c>
      <c r="D19" s="219"/>
      <c r="E19" s="219"/>
      <c r="F19" s="332" t="s">
        <v>178</v>
      </c>
      <c r="G19" s="332"/>
      <c r="H19" s="220">
        <f>D10/SUM(D15,-D9)</f>
        <v>0.35286666546295553</v>
      </c>
      <c r="J19" s="218" t="s">
        <v>41</v>
      </c>
      <c r="K19" s="219"/>
      <c r="L19" s="219"/>
      <c r="M19" s="229" t="s">
        <v>177</v>
      </c>
      <c r="N19" s="220">
        <f>K10/SUM(K15,-K9)</f>
        <v>0.333679400289219</v>
      </c>
      <c r="Q19" s="263" t="s">
        <v>120</v>
      </c>
      <c r="R19" s="266">
        <f ca="1">U8-U12</f>
        <v>1.2609025788337451</v>
      </c>
      <c r="S19" s="266">
        <f ca="1">U10-U12</f>
        <v>4.1073690350505805</v>
      </c>
      <c r="T19" s="271"/>
      <c r="U19" s="272">
        <f ca="1">E26*D12*(1-E27)*R19*LossCF</f>
        <v>0</v>
      </c>
      <c r="V19" s="273">
        <f ca="1">E26*D12*(E27)*R19*LossCF</f>
        <v>0</v>
      </c>
      <c r="W19" s="274"/>
    </row>
    <row r="20" spans="1:27" s="15" customFormat="1" ht="15.75" customHeight="1" thickBot="1" x14ac:dyDescent="0.3">
      <c r="A20" s="4"/>
      <c r="C20" s="221" t="s">
        <v>174</v>
      </c>
      <c r="D20" s="222"/>
      <c r="E20" s="33"/>
      <c r="F20" s="333">
        <v>0</v>
      </c>
      <c r="G20" s="333"/>
      <c r="H20" s="223">
        <f ca="1">H15/G15</f>
        <v>3.4275934295236898E-2</v>
      </c>
      <c r="J20" s="221" t="s">
        <v>174</v>
      </c>
      <c r="K20" s="222"/>
      <c r="L20" s="33"/>
      <c r="M20" s="227" t="s">
        <v>43</v>
      </c>
      <c r="N20" s="223">
        <f ca="1">N15/M15</f>
        <v>4.841323061919553E-2</v>
      </c>
      <c r="Q20" s="263" t="s">
        <v>121</v>
      </c>
      <c r="R20" s="279"/>
      <c r="S20" s="280">
        <f ca="1">U10-U13</f>
        <v>4.1073690350505805</v>
      </c>
      <c r="T20" s="281">
        <f>U14-U13</f>
        <v>0</v>
      </c>
      <c r="U20" s="277"/>
      <c r="V20" s="275">
        <f ca="1">E26*D13*E27*S20*LossCF</f>
        <v>0</v>
      </c>
      <c r="W20" s="276">
        <f ca="1">E26*D13*(1-E27)*S20*LossCF</f>
        <v>0</v>
      </c>
    </row>
    <row r="21" spans="1:27" s="15" customFormat="1" ht="15.75" customHeight="1" x14ac:dyDescent="0.25">
      <c r="A21" s="141"/>
      <c r="C21" s="328" t="s">
        <v>175</v>
      </c>
      <c r="D21" s="329"/>
      <c r="E21" s="21"/>
      <c r="F21" s="331" t="str">
        <f ca="1">C3</f>
        <v>5 yr / 24 hour                               </v>
      </c>
      <c r="G21" s="331"/>
      <c r="H21" s="224">
        <f ca="1">H15*7.48052/1000</f>
        <v>3.4475562234185575</v>
      </c>
      <c r="J21" s="328" t="s">
        <v>175</v>
      </c>
      <c r="K21" s="329"/>
      <c r="L21" s="225" t="s">
        <v>43</v>
      </c>
      <c r="M21" s="226" t="s">
        <v>43</v>
      </c>
      <c r="N21" s="224">
        <f ca="1">N15*7.48052/1000</f>
        <v>4.8539034386719582</v>
      </c>
      <c r="O21" s="144"/>
      <c r="Q21" s="278">
        <f>43560/12/1000*7.48052/1000</f>
        <v>2.71542876E-2</v>
      </c>
      <c r="R21" s="282"/>
      <c r="S21" s="283"/>
      <c r="T21" s="283"/>
      <c r="U21" s="21"/>
      <c r="V21" s="21"/>
      <c r="W21" s="288"/>
    </row>
    <row r="22" spans="1:27" s="15" customFormat="1" ht="15.75" customHeight="1" x14ac:dyDescent="0.25">
      <c r="A22" s="141"/>
      <c r="C22" s="318" t="s">
        <v>186</v>
      </c>
      <c r="D22" s="318"/>
      <c r="E22" s="318"/>
      <c r="F22" s="318"/>
      <c r="G22" s="318"/>
      <c r="H22" s="318"/>
      <c r="J22" s="35"/>
      <c r="K22" s="35"/>
      <c r="L22" s="37"/>
      <c r="M22" s="142"/>
      <c r="N22" s="143"/>
      <c r="O22" s="144"/>
    </row>
    <row r="23" spans="1:27" s="15" customFormat="1" ht="15.75" customHeight="1" x14ac:dyDescent="0.25">
      <c r="A23" s="141"/>
      <c r="C23" s="309" t="s">
        <v>185</v>
      </c>
      <c r="D23" s="310"/>
      <c r="E23" s="251">
        <f ca="1">INDIRECT("Summary!j"&amp;(12+A1))</f>
        <v>0.1</v>
      </c>
      <c r="F23" s="321" t="s">
        <v>194</v>
      </c>
      <c r="G23" s="321"/>
      <c r="H23" s="322"/>
      <c r="J23" s="315" t="s">
        <v>183</v>
      </c>
      <c r="K23" s="316"/>
      <c r="L23" s="316"/>
      <c r="M23" s="316"/>
      <c r="N23" s="238">
        <f ca="1">INDIRECT("Summary!M"&amp;(12+A1))</f>
        <v>0.1406492161378271</v>
      </c>
      <c r="O23" s="144"/>
    </row>
    <row r="24" spans="1:27" s="15" customFormat="1" ht="15.75" customHeight="1" x14ac:dyDescent="0.25">
      <c r="A24" s="141"/>
      <c r="C24" s="338"/>
      <c r="D24" s="339"/>
      <c r="E24" s="284">
        <v>0.4</v>
      </c>
      <c r="F24" s="319" t="s">
        <v>46</v>
      </c>
      <c r="G24" s="319"/>
      <c r="H24" s="320"/>
      <c r="J24" s="239" t="s">
        <v>104</v>
      </c>
      <c r="K24" s="317" t="s">
        <v>44</v>
      </c>
      <c r="L24" s="317"/>
      <c r="M24" s="317"/>
      <c r="N24" s="240">
        <f ca="1">(N23/(N18-H18))*(N21-H21)</f>
        <v>1.4063472152534007</v>
      </c>
      <c r="O24" s="144"/>
    </row>
    <row r="25" spans="1:27" s="15" customFormat="1" ht="15.75" customHeight="1" x14ac:dyDescent="0.25">
      <c r="A25" s="141"/>
      <c r="C25" s="311" t="s">
        <v>187</v>
      </c>
      <c r="D25" s="312"/>
      <c r="E25" s="268">
        <f ca="1">SUM(U17:W18)</f>
        <v>1.714545152083859</v>
      </c>
      <c r="F25" s="295" t="s">
        <v>44</v>
      </c>
      <c r="G25" s="295"/>
      <c r="H25" s="254"/>
      <c r="J25" s="241"/>
      <c r="K25" s="242"/>
      <c r="L25" s="243"/>
      <c r="M25" s="244"/>
      <c r="N25" s="245"/>
      <c r="O25" s="144"/>
    </row>
    <row r="26" spans="1:27" x14ac:dyDescent="0.25">
      <c r="C26" s="338" t="s">
        <v>188</v>
      </c>
      <c r="D26" s="339"/>
      <c r="E26" s="252">
        <f ca="1">INDIRECT("Summary!K"&amp;(12+A1))</f>
        <v>0</v>
      </c>
      <c r="F26" s="319" t="s">
        <v>195</v>
      </c>
      <c r="G26" s="319"/>
      <c r="H26" s="320"/>
    </row>
    <row r="27" spans="1:27" x14ac:dyDescent="0.25">
      <c r="C27" s="338"/>
      <c r="D27" s="339"/>
      <c r="E27" s="284">
        <v>0.4</v>
      </c>
      <c r="F27" s="319" t="s">
        <v>46</v>
      </c>
      <c r="G27" s="319"/>
      <c r="H27" s="320"/>
    </row>
    <row r="28" spans="1:27" x14ac:dyDescent="0.25">
      <c r="C28" s="334" t="s">
        <v>187</v>
      </c>
      <c r="D28" s="335"/>
      <c r="E28" s="285">
        <f ca="1">SUM(U19:W20)</f>
        <v>0</v>
      </c>
      <c r="F28" s="255" t="s">
        <v>44</v>
      </c>
      <c r="G28" s="255"/>
      <c r="H28" s="256"/>
    </row>
    <row r="29" spans="1:27" x14ac:dyDescent="0.25">
      <c r="C29" s="259" t="s">
        <v>190</v>
      </c>
      <c r="D29" s="249"/>
      <c r="E29" s="257">
        <f ca="1">(E23*SUM(D6:D7)+E26*SUM(D12:D13))/SUM(D6:D7,D12:D13)</f>
        <v>0.1</v>
      </c>
      <c r="F29" s="258" t="s">
        <v>189</v>
      </c>
      <c r="G29" s="258"/>
      <c r="H29" s="250"/>
    </row>
    <row r="30" spans="1:27" x14ac:dyDescent="0.25">
      <c r="C30" s="336" t="s">
        <v>187</v>
      </c>
      <c r="D30" s="337"/>
      <c r="E30" s="260">
        <f ca="1">SUM(E25,E28)</f>
        <v>1.714545152083859</v>
      </c>
      <c r="F30" s="246" t="s">
        <v>44</v>
      </c>
      <c r="G30" s="247"/>
      <c r="H30" s="248"/>
    </row>
  </sheetData>
  <mergeCells count="28">
    <mergeCell ref="C30:D30"/>
    <mergeCell ref="C25:D25"/>
    <mergeCell ref="C26:D26"/>
    <mergeCell ref="F26:H26"/>
    <mergeCell ref="C27:D27"/>
    <mergeCell ref="F27:H27"/>
    <mergeCell ref="C28:D28"/>
    <mergeCell ref="C22:H22"/>
    <mergeCell ref="C23:D23"/>
    <mergeCell ref="F23:H23"/>
    <mergeCell ref="J23:M23"/>
    <mergeCell ref="C24:D24"/>
    <mergeCell ref="F24:H24"/>
    <mergeCell ref="K24:M24"/>
    <mergeCell ref="V4:Y4"/>
    <mergeCell ref="C21:D21"/>
    <mergeCell ref="F21:G21"/>
    <mergeCell ref="J21:K21"/>
    <mergeCell ref="C1:H1"/>
    <mergeCell ref="E2:H2"/>
    <mergeCell ref="E3:H3"/>
    <mergeCell ref="D4:H4"/>
    <mergeCell ref="J4:N4"/>
    <mergeCell ref="C17:H17"/>
    <mergeCell ref="J17:N17"/>
    <mergeCell ref="F18:G18"/>
    <mergeCell ref="F19:G19"/>
    <mergeCell ref="F20:G20"/>
  </mergeCells>
  <dataValidations count="1">
    <dataValidation type="decimal" allowBlank="1" showInputMessage="1" showErrorMessage="1" sqref="N23">
      <formula1>H18</formula1>
      <formula2>N18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Events!$B$3:$B$9</xm:f>
          </x14:formula1>
          <xm:sqref>C4:C5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30"/>
  <sheetViews>
    <sheetView showGridLines="0" workbookViewId="0">
      <pane ySplit="3" topLeftCell="A4" activePane="bottomLeft" state="frozen"/>
      <selection pane="bottomLeft" activeCell="R17" sqref="R17:W20"/>
    </sheetView>
  </sheetViews>
  <sheetFormatPr defaultRowHeight="15" x14ac:dyDescent="0.25"/>
  <cols>
    <col min="1" max="2" width="2" bestFit="1" customWidth="1"/>
    <col min="3" max="3" width="29.140625" bestFit="1" customWidth="1"/>
    <col min="4" max="4" width="10" bestFit="1" customWidth="1"/>
    <col min="5" max="5" width="8.7109375" customWidth="1"/>
    <col min="6" max="6" width="9" customWidth="1"/>
    <col min="7" max="7" width="9.85546875" customWidth="1"/>
    <col min="8" max="8" width="7.140625" bestFit="1" customWidth="1"/>
    <col min="9" max="9" width="4.7109375" customWidth="1"/>
    <col min="10" max="10" width="27.28515625" customWidth="1"/>
    <col min="11" max="11" width="11" customWidth="1"/>
    <col min="12" max="12" width="7.5703125" bestFit="1" customWidth="1"/>
    <col min="13" max="13" width="7.42578125" bestFit="1" customWidth="1"/>
    <col min="14" max="14" width="8.28515625" bestFit="1" customWidth="1"/>
    <col min="15" max="15" width="5.28515625" customWidth="1"/>
    <col min="16" max="16" width="2" bestFit="1" customWidth="1"/>
    <col min="17" max="17" width="27.42578125" bestFit="1" customWidth="1"/>
    <col min="18" max="18" width="6.7109375" bestFit="1" customWidth="1"/>
    <col min="19" max="19" width="7" bestFit="1" customWidth="1"/>
    <col min="20" max="27" width="7" customWidth="1"/>
    <col min="28" max="28" width="6" bestFit="1" customWidth="1"/>
    <col min="29" max="29" width="7" bestFit="1" customWidth="1"/>
    <col min="30" max="30" width="5" bestFit="1" customWidth="1"/>
    <col min="31" max="31" width="6" bestFit="1" customWidth="1"/>
  </cols>
  <sheetData>
    <row r="1" spans="1:31" s="8" customFormat="1" ht="19.5" customHeight="1" x14ac:dyDescent="0.25">
      <c r="A1" s="9">
        <v>5</v>
      </c>
      <c r="C1" s="326" t="str">
        <f>VLOOKUP(A1,LANDCOVER,2)</f>
        <v>SWIFT CREEK</v>
      </c>
      <c r="D1" s="326"/>
      <c r="E1" s="326"/>
      <c r="F1" s="326"/>
      <c r="G1" s="326"/>
      <c r="H1" s="326"/>
    </row>
    <row r="2" spans="1:31" s="15" customFormat="1" ht="15.75" x14ac:dyDescent="0.25">
      <c r="A2" s="14"/>
      <c r="C2" s="17" t="s">
        <v>98</v>
      </c>
      <c r="D2" s="18" t="s">
        <v>32</v>
      </c>
      <c r="E2" s="314" t="s">
        <v>26</v>
      </c>
      <c r="F2" s="314"/>
      <c r="G2" s="314"/>
      <c r="H2" s="314"/>
    </row>
    <row r="3" spans="1:31" s="21" customFormat="1" ht="15.75" customHeight="1" x14ac:dyDescent="0.25">
      <c r="A3" s="20"/>
      <c r="C3" s="65" t="str">
        <f ca="1">INDIRECT("Summary!I"&amp;(12+A1))</f>
        <v>5 yr / 24 hour                               </v>
      </c>
      <c r="D3" s="22">
        <f ca="1">VLOOKUP($C$3,Events!$B$3:$D$9,2,FALSE)</f>
        <v>4.38</v>
      </c>
      <c r="E3" s="313" t="str">
        <f ca="1">VLOOKUP($C$3,Events!$B$3:$D$9,3,FALSE)</f>
        <v>Site ID: 31-4782</v>
      </c>
      <c r="F3" s="313"/>
      <c r="G3" s="313"/>
      <c r="H3" s="313"/>
    </row>
    <row r="4" spans="1:31" s="33" customFormat="1" x14ac:dyDescent="0.25">
      <c r="A4" s="32"/>
      <c r="C4" s="34"/>
      <c r="D4" s="327" t="s">
        <v>42</v>
      </c>
      <c r="E4" s="327"/>
      <c r="F4" s="327"/>
      <c r="G4" s="327"/>
      <c r="H4" s="327"/>
      <c r="J4" s="324" t="s">
        <v>45</v>
      </c>
      <c r="K4" s="324"/>
      <c r="L4" s="324"/>
      <c r="M4" s="324"/>
      <c r="N4" s="324"/>
      <c r="Q4" s="190" t="s">
        <v>171</v>
      </c>
      <c r="V4" s="325" t="s">
        <v>173</v>
      </c>
      <c r="W4" s="325"/>
      <c r="X4" s="325"/>
      <c r="Y4" s="325"/>
    </row>
    <row r="5" spans="1:31" s="15" customFormat="1" ht="25.5" x14ac:dyDescent="0.25">
      <c r="A5" s="14"/>
      <c r="C5" s="16"/>
      <c r="D5" s="3" t="s">
        <v>23</v>
      </c>
      <c r="E5" s="3" t="s">
        <v>31</v>
      </c>
      <c r="F5" s="19" t="s">
        <v>29</v>
      </c>
      <c r="G5" s="19" t="s">
        <v>95</v>
      </c>
      <c r="H5" s="19" t="s">
        <v>96</v>
      </c>
      <c r="J5" s="16" t="s">
        <v>23</v>
      </c>
      <c r="K5" s="3" t="s">
        <v>23</v>
      </c>
      <c r="L5" s="3" t="s">
        <v>31</v>
      </c>
      <c r="M5" s="19" t="s">
        <v>30</v>
      </c>
      <c r="N5" s="19" t="s">
        <v>96</v>
      </c>
      <c r="Q5" s="186" t="s">
        <v>165</v>
      </c>
      <c r="R5" s="178" t="s">
        <v>167</v>
      </c>
      <c r="S5" s="184" t="s">
        <v>20</v>
      </c>
      <c r="T5" s="184" t="s">
        <v>168</v>
      </c>
      <c r="U5" s="184" t="s">
        <v>19</v>
      </c>
      <c r="V5" s="209" t="s">
        <v>167</v>
      </c>
      <c r="W5" s="209" t="s">
        <v>20</v>
      </c>
      <c r="X5" s="209" t="s">
        <v>168</v>
      </c>
      <c r="Y5" s="209" t="s">
        <v>19</v>
      </c>
      <c r="Z5" s="184"/>
      <c r="AA5" s="184"/>
      <c r="AB5" s="184" t="s">
        <v>169</v>
      </c>
      <c r="AC5" s="175" t="s">
        <v>170</v>
      </c>
      <c r="AD5" s="184" t="s">
        <v>168</v>
      </c>
      <c r="AE5" s="175" t="s">
        <v>172</v>
      </c>
    </row>
    <row r="6" spans="1:31" s="15" customFormat="1" x14ac:dyDescent="0.2">
      <c r="A6" s="25"/>
      <c r="C6" s="5" t="s">
        <v>118</v>
      </c>
      <c r="D6" s="28">
        <f>VLOOKUP($A$1,LANDCOVER,3)</f>
        <v>586.0280835659147</v>
      </c>
      <c r="E6" s="198">
        <f>D6/$D$15</f>
        <v>0.52122579152076032</v>
      </c>
      <c r="F6" s="191">
        <f t="shared" ref="F6:F14" ca="1" si="0">IF(D6&gt;0,IF($D$3&lt;0.05*S6,0,($D$3-T6)^2/($D$3-A6+S6)),0)</f>
        <v>1.1597643360811396</v>
      </c>
      <c r="G6" s="28">
        <f ca="1">D6*$F6*43560/12/1000</f>
        <v>2467.1457306800644</v>
      </c>
      <c r="H6" s="28">
        <f ca="1">IFERROR(($Y6/$U6-1)*G6,0)</f>
        <v>513.63832704836125</v>
      </c>
      <c r="J6" s="5" t="s">
        <v>118</v>
      </c>
      <c r="K6" s="28">
        <f>VLOOKUP($A$1,LANDCOVERPOT,3)</f>
        <v>681.62066512039564</v>
      </c>
      <c r="L6" s="29">
        <f>K6/$K$15</f>
        <v>0.60624785851977814</v>
      </c>
      <c r="M6" s="28">
        <f ca="1">K6*$F6*43560/12/1000</f>
        <v>2869.5851974574216</v>
      </c>
      <c r="N6" s="28">
        <f ca="1">IFERROR(($Y6/$U6-1)*M6,0)</f>
        <v>597.4227309784759</v>
      </c>
      <c r="P6" s="176">
        <v>1</v>
      </c>
      <c r="Q6" s="192" t="str">
        <f t="shared" ref="Q6:Q14" si="1">C6</f>
        <v>Tree Canopy</v>
      </c>
      <c r="R6" s="193">
        <f t="shared" ref="R6:R14" si="2">VLOOKUP($A$1,CompositeCN,$P6+1)</f>
        <v>66.293140521024455</v>
      </c>
      <c r="S6" s="194">
        <f>IFERROR(1000/R6-10,0)</f>
        <v>5.084516921971078</v>
      </c>
      <c r="T6" s="194">
        <f>0.2*S6+ModelCi</f>
        <v>1.0669033843942157</v>
      </c>
      <c r="U6" s="194">
        <f t="shared" ref="U6:U14" ca="1" si="3">IF(D6&gt;0,IF($D$3&lt;0.05*S6,0,($D$3-T6)^2/($D$3-A6+S6)),0)</f>
        <v>1.1597643360811396</v>
      </c>
      <c r="V6" s="203">
        <f>R6-CNadj</f>
        <v>68.293140521024455</v>
      </c>
      <c r="W6" s="204">
        <f>IFERROR(1000/V6-10,0)</f>
        <v>4.6427590292489764</v>
      </c>
      <c r="X6" s="204">
        <f t="shared" ref="X6:X7" si="4">0.2*W6</f>
        <v>0.92855180584979535</v>
      </c>
      <c r="Y6" s="205">
        <f ca="1">IF(D6&gt;0,IF($D$3&lt;0.05*W6,0,($D$3-X6)^2/($D$3-E6+W6)),0)</f>
        <v>1.4012172044493436</v>
      </c>
      <c r="Z6" s="202"/>
      <c r="AA6" s="202"/>
      <c r="AB6" s="187">
        <f>0.05*S6</f>
        <v>0.25422584609855392</v>
      </c>
      <c r="AC6" s="188">
        <f>1.33*S6^1.15</f>
        <v>8.6305563525148727</v>
      </c>
      <c r="AD6" s="189">
        <f>0.05+ModelCi</f>
        <v>0.1</v>
      </c>
      <c r="AE6" s="188">
        <f>AD6*S6</f>
        <v>0.50845169219710784</v>
      </c>
    </row>
    <row r="7" spans="1:31" s="15" customFormat="1" x14ac:dyDescent="0.2">
      <c r="A7" s="25"/>
      <c r="C7" s="5" t="s">
        <v>119</v>
      </c>
      <c r="D7" s="28">
        <f>VLOOKUP($A$1,LANDCOVER,4)</f>
        <v>16.682017574577849</v>
      </c>
      <c r="E7" s="198">
        <f>D7/$D$15</f>
        <v>1.4837339810686009E-2</v>
      </c>
      <c r="F7" s="191">
        <f t="shared" ca="1" si="0"/>
        <v>3.7597312948807056</v>
      </c>
      <c r="G7" s="28">
        <f t="shared" ref="G7:G14" ca="1" si="5">D7*$F7*43560/12/1000</f>
        <v>227.67324983891166</v>
      </c>
      <c r="H7" s="28">
        <f ca="1">($Y7/$U7-1)*G7</f>
        <v>21.859118721282226</v>
      </c>
      <c r="J7" s="5" t="s">
        <v>119</v>
      </c>
      <c r="K7" s="28">
        <f>VLOOKUP($A$1,LANDCOVERPOT,4)</f>
        <v>32.395633032805954</v>
      </c>
      <c r="L7" s="29">
        <f>K7/$K$15</f>
        <v>2.8813362265156954E-2</v>
      </c>
      <c r="M7" s="28">
        <f t="shared" ref="M7:M14" ca="1" si="6">K7*$F7*43560/12/1000</f>
        <v>442.12991745120939</v>
      </c>
      <c r="N7" s="28">
        <f ca="1">($Y7/$U7-1)*M7</f>
        <v>42.449301192102205</v>
      </c>
      <c r="P7" s="176">
        <v>2</v>
      </c>
      <c r="Q7" s="195" t="str">
        <f t="shared" si="1"/>
        <v>Tree Canopy over Impervious</v>
      </c>
      <c r="R7" s="196">
        <f t="shared" si="2"/>
        <v>96</v>
      </c>
      <c r="S7" s="197">
        <f t="shared" ref="S7:S14" si="7">IFERROR(1000/R7-10,0)</f>
        <v>0.41666666666666607</v>
      </c>
      <c r="T7" s="197">
        <f>0.2*S7+ModelCi</f>
        <v>0.13333333333333322</v>
      </c>
      <c r="U7" s="197">
        <f t="shared" ca="1" si="3"/>
        <v>3.7597312948807056</v>
      </c>
      <c r="V7" s="206">
        <f>R7-CNadj</f>
        <v>98</v>
      </c>
      <c r="W7" s="207">
        <f>IFERROR(1000/V7-10,0)</f>
        <v>0.20408163265306101</v>
      </c>
      <c r="X7" s="207">
        <f t="shared" si="4"/>
        <v>4.0816326530612207E-2</v>
      </c>
      <c r="Y7" s="208">
        <f ca="1">IF(D7&gt;0,IF($D$3&lt;0.05*W7,0,($D$3-X7)^2/($D$3-E7+W7)),0)</f>
        <v>4.1207065644526315</v>
      </c>
      <c r="Z7" s="185"/>
      <c r="AA7" s="185"/>
      <c r="AB7" s="187">
        <f t="shared" ref="AB7:AB14" si="8">0.05*S7</f>
        <v>2.0833333333333304E-2</v>
      </c>
      <c r="AC7" s="188">
        <f>1.33*S7^1.15</f>
        <v>0.48596916396643658</v>
      </c>
      <c r="AD7" s="189">
        <f>0.05+ModelCi</f>
        <v>0.1</v>
      </c>
      <c r="AE7" s="188">
        <f t="shared" ref="AE7:AE14" si="9">AD7*S7</f>
        <v>4.1666666666666609E-2</v>
      </c>
    </row>
    <row r="8" spans="1:31" s="15" customFormat="1" x14ac:dyDescent="0.2">
      <c r="A8" s="25"/>
      <c r="C8" s="5" t="s">
        <v>2</v>
      </c>
      <c r="D8" s="28">
        <f>VLOOKUP($A$1,LANDCOVER,5)</f>
        <v>206.33513344665079</v>
      </c>
      <c r="E8" s="198">
        <f>D8/$D$15</f>
        <v>0.18351883854244619</v>
      </c>
      <c r="F8" s="191">
        <f t="shared" ca="1" si="0"/>
        <v>1.1762622391235189</v>
      </c>
      <c r="G8" s="28">
        <f t="shared" ca="1" si="5"/>
        <v>881.01634066244128</v>
      </c>
      <c r="H8" s="199"/>
      <c r="J8" s="5" t="s">
        <v>2</v>
      </c>
      <c r="K8" s="28">
        <f>VLOOKUP($A$1,LANDCOVERPOT,5)</f>
        <v>110.74255189216977</v>
      </c>
      <c r="L8" s="29">
        <f>K8/$K$15</f>
        <v>9.8496771543428396E-2</v>
      </c>
      <c r="M8" s="28">
        <f t="shared" ca="1" si="6"/>
        <v>472.85208385941803</v>
      </c>
      <c r="N8" s="199"/>
      <c r="P8" s="176">
        <v>3</v>
      </c>
      <c r="Q8" s="175" t="str">
        <f t="shared" si="1"/>
        <v>Pervious</v>
      </c>
      <c r="R8" s="177">
        <f t="shared" si="2"/>
        <v>65.984580252966452</v>
      </c>
      <c r="S8" s="185">
        <f t="shared" si="7"/>
        <v>5.1550558655716117</v>
      </c>
      <c r="T8" s="185">
        <f t="shared" ref="T8:T14" si="10">0.2*S8</f>
        <v>1.0310111731143223</v>
      </c>
      <c r="U8" s="185">
        <f t="shared" ca="1" si="3"/>
        <v>1.1762622391235189</v>
      </c>
      <c r="V8" s="185"/>
      <c r="W8" s="185"/>
      <c r="X8" s="185"/>
      <c r="Y8" s="185"/>
      <c r="Z8" s="185"/>
      <c r="AA8" s="185"/>
      <c r="AB8" s="187">
        <f t="shared" si="8"/>
        <v>0.25775279327858058</v>
      </c>
      <c r="AC8" s="188">
        <f t="shared" ref="AC8:AC14" si="11">1.33*S8^1.15</f>
        <v>8.768393339429382</v>
      </c>
      <c r="AD8" s="184">
        <f>0.05</f>
        <v>0.05</v>
      </c>
      <c r="AE8" s="188">
        <f t="shared" si="9"/>
        <v>0.25775279327858058</v>
      </c>
    </row>
    <row r="9" spans="1:31" s="15" customFormat="1" x14ac:dyDescent="0.2">
      <c r="A9" s="25"/>
      <c r="C9" s="5" t="s">
        <v>12</v>
      </c>
      <c r="D9" s="28">
        <f>VLOOKUP($A$1,LANDCOVER,6)</f>
        <v>7.4153557309362554</v>
      </c>
      <c r="E9" s="198">
        <f>D9/$D$15</f>
        <v>6.5953744686546648E-3</v>
      </c>
      <c r="F9" s="191">
        <f t="shared" ca="1" si="0"/>
        <v>4.38</v>
      </c>
      <c r="G9" s="28">
        <f t="shared" ca="1" si="5"/>
        <v>117.8997069084479</v>
      </c>
      <c r="H9" s="200"/>
      <c r="J9" s="5" t="s">
        <v>12</v>
      </c>
      <c r="K9" s="28">
        <f>VLOOKUP($A$1,LANDCOVERPOT,6)</f>
        <v>7.4153557309362554</v>
      </c>
      <c r="L9" s="29">
        <f>K9/$K$15</f>
        <v>6.5953744686546648E-3</v>
      </c>
      <c r="M9" s="28">
        <f t="shared" ca="1" si="6"/>
        <v>117.8997069084479</v>
      </c>
      <c r="N9" s="200"/>
      <c r="P9" s="176">
        <v>4</v>
      </c>
      <c r="Q9" s="175" t="str">
        <f t="shared" si="1"/>
        <v>Water</v>
      </c>
      <c r="R9" s="177">
        <f t="shared" si="2"/>
        <v>100</v>
      </c>
      <c r="S9" s="185">
        <f t="shared" si="7"/>
        <v>0</v>
      </c>
      <c r="T9" s="185">
        <f t="shared" si="10"/>
        <v>0</v>
      </c>
      <c r="U9" s="185">
        <f t="shared" ca="1" si="3"/>
        <v>4.38</v>
      </c>
      <c r="V9" s="185"/>
      <c r="W9" s="185"/>
      <c r="X9" s="185"/>
      <c r="Y9" s="185"/>
      <c r="Z9" s="185"/>
      <c r="AA9" s="185"/>
      <c r="AB9" s="187">
        <f t="shared" si="8"/>
        <v>0</v>
      </c>
      <c r="AC9" s="188">
        <f t="shared" si="11"/>
        <v>0</v>
      </c>
      <c r="AD9" s="184"/>
      <c r="AE9" s="188">
        <f t="shared" si="9"/>
        <v>0</v>
      </c>
    </row>
    <row r="10" spans="1:31" s="15" customFormat="1" x14ac:dyDescent="0.2">
      <c r="A10" s="25"/>
      <c r="C10" s="5" t="s">
        <v>4</v>
      </c>
      <c r="D10" s="28">
        <f>VLOOKUP($A$1,LANDCOVER,7)</f>
        <v>282.89276939596402</v>
      </c>
      <c r="E10" s="198">
        <f>D10/$D$15</f>
        <v>0.25161082169763699</v>
      </c>
      <c r="F10" s="191">
        <f t="shared" ca="1" si="0"/>
        <v>4.1073690350505805</v>
      </c>
      <c r="G10" s="28">
        <f t="shared" ca="1" si="5"/>
        <v>4217.8603545617752</v>
      </c>
      <c r="H10" s="200"/>
      <c r="J10" s="5" t="s">
        <v>4</v>
      </c>
      <c r="K10" s="28">
        <f>VLOOKUP($A$1,LANDCOVERPOT,7)</f>
        <v>267.17915393773586</v>
      </c>
      <c r="L10" s="29">
        <f>K10/$K$15</f>
        <v>0.237634799243166</v>
      </c>
      <c r="M10" s="28">
        <f t="shared" ca="1" si="6"/>
        <v>3983.5742828123734</v>
      </c>
      <c r="N10" s="200"/>
      <c r="P10" s="176">
        <v>5</v>
      </c>
      <c r="Q10" s="175" t="str">
        <f t="shared" si="1"/>
        <v>Impervious</v>
      </c>
      <c r="R10" s="177">
        <f t="shared" si="2"/>
        <v>98</v>
      </c>
      <c r="S10" s="185">
        <f t="shared" si="7"/>
        <v>0.20408163265306101</v>
      </c>
      <c r="T10" s="185">
        <f t="shared" si="10"/>
        <v>4.0816326530612207E-2</v>
      </c>
      <c r="U10" s="185">
        <f t="shared" ca="1" si="3"/>
        <v>4.1073690350505805</v>
      </c>
      <c r="V10" s="185"/>
      <c r="W10" s="185"/>
      <c r="X10" s="185"/>
      <c r="Y10" s="185"/>
      <c r="Z10" s="185"/>
      <c r="AA10" s="185"/>
      <c r="AB10" s="187">
        <f t="shared" si="8"/>
        <v>1.0204081632653052E-2</v>
      </c>
      <c r="AC10" s="188">
        <f t="shared" si="11"/>
        <v>0.2138583190676947</v>
      </c>
      <c r="AD10" s="184">
        <f>0.05</f>
        <v>0.05</v>
      </c>
      <c r="AE10" s="188">
        <f t="shared" si="9"/>
        <v>1.0204081632653052E-2</v>
      </c>
    </row>
    <row r="11" spans="1:31" s="15" customFormat="1" x14ac:dyDescent="0.2">
      <c r="A11" s="25"/>
      <c r="C11" s="5" t="s">
        <v>9</v>
      </c>
      <c r="D11" s="28">
        <f>VLOOKUP($A$1,LANDCOVER,8)</f>
        <v>24.973358378864397</v>
      </c>
      <c r="E11" s="198">
        <f t="shared" ref="E11:E14" si="12">D11/$D$15</f>
        <v>2.221183395981589E-2</v>
      </c>
      <c r="F11" s="191">
        <f t="shared" ca="1" si="0"/>
        <v>2.8097887085501956</v>
      </c>
      <c r="G11" s="28">
        <f t="shared" ca="1" si="5"/>
        <v>254.71659320666348</v>
      </c>
      <c r="H11" s="200"/>
      <c r="J11" s="5" t="s">
        <v>9</v>
      </c>
      <c r="K11" s="28">
        <f>VLOOKUP($A$1,LANDCOVERPOT,8)</f>
        <v>24.973358378864397</v>
      </c>
      <c r="L11" s="29"/>
      <c r="M11" s="28">
        <f t="shared" ca="1" si="6"/>
        <v>254.71659320666348</v>
      </c>
      <c r="N11" s="200"/>
      <c r="P11" s="176">
        <v>6</v>
      </c>
      <c r="Q11" s="175" t="str">
        <f t="shared" si="1"/>
        <v>Bare Earth</v>
      </c>
      <c r="R11" s="177">
        <f t="shared" si="2"/>
        <v>86.744462072384721</v>
      </c>
      <c r="S11" s="185">
        <f t="shared" si="7"/>
        <v>1.5281134508107357</v>
      </c>
      <c r="T11" s="185">
        <f t="shared" si="10"/>
        <v>0.30562269016214716</v>
      </c>
      <c r="U11" s="185">
        <f t="shared" ca="1" si="3"/>
        <v>2.8097887085501956</v>
      </c>
      <c r="V11" s="185"/>
      <c r="W11" s="185"/>
      <c r="X11" s="185"/>
      <c r="Y11" s="185"/>
      <c r="Z11" s="185"/>
      <c r="AA11" s="185"/>
      <c r="AB11" s="187">
        <f t="shared" si="8"/>
        <v>7.640567254053679E-2</v>
      </c>
      <c r="AC11" s="188">
        <f t="shared" si="11"/>
        <v>2.1658609904527899</v>
      </c>
      <c r="AD11" s="184">
        <f>0.05</f>
        <v>0.05</v>
      </c>
      <c r="AE11" s="188">
        <f t="shared" si="9"/>
        <v>7.640567254053679E-2</v>
      </c>
    </row>
    <row r="12" spans="1:31" s="15" customFormat="1" x14ac:dyDescent="0.2">
      <c r="A12" s="25"/>
      <c r="C12" s="5" t="s">
        <v>120</v>
      </c>
      <c r="D12" s="28">
        <f>VLOOKUP($A$1,LANDCOVER,9)</f>
        <v>0</v>
      </c>
      <c r="E12" s="198">
        <f t="shared" si="12"/>
        <v>0</v>
      </c>
      <c r="F12" s="191">
        <f t="shared" si="0"/>
        <v>0</v>
      </c>
      <c r="G12" s="28">
        <f t="shared" si="5"/>
        <v>0</v>
      </c>
      <c r="H12" s="28">
        <f>IFERROR(($Y12/$U12-1)*G12,0)</f>
        <v>0</v>
      </c>
      <c r="J12" s="5" t="s">
        <v>120</v>
      </c>
      <c r="K12" s="28">
        <f>VLOOKUP($A$1,LANDCOVERPOT,9)</f>
        <v>0</v>
      </c>
      <c r="L12" s="29"/>
      <c r="M12" s="28">
        <f t="shared" si="6"/>
        <v>0</v>
      </c>
      <c r="N12" s="28">
        <f>IFERROR(($Y12/$U12-1)*M12,0)</f>
        <v>0</v>
      </c>
      <c r="P12" s="176">
        <v>7</v>
      </c>
      <c r="Q12" s="175" t="str">
        <f t="shared" si="1"/>
        <v>Forested Open Space</v>
      </c>
      <c r="R12" s="177" t="str">
        <f t="shared" si="2"/>
        <v/>
      </c>
      <c r="S12" s="185">
        <f t="shared" si="7"/>
        <v>0</v>
      </c>
      <c r="T12" s="185">
        <f t="shared" si="10"/>
        <v>0</v>
      </c>
      <c r="U12" s="185">
        <f t="shared" si="3"/>
        <v>0</v>
      </c>
      <c r="V12" s="185"/>
      <c r="W12" s="185"/>
      <c r="X12" s="185"/>
      <c r="Y12" s="185"/>
      <c r="Z12" s="185"/>
      <c r="AA12" s="185"/>
      <c r="AB12" s="187">
        <f t="shared" si="8"/>
        <v>0</v>
      </c>
      <c r="AC12" s="188">
        <f t="shared" si="11"/>
        <v>0</v>
      </c>
      <c r="AD12" s="184">
        <f>0.05</f>
        <v>0.05</v>
      </c>
      <c r="AE12" s="188">
        <f t="shared" si="9"/>
        <v>0</v>
      </c>
    </row>
    <row r="13" spans="1:31" s="15" customFormat="1" x14ac:dyDescent="0.2">
      <c r="A13" s="25"/>
      <c r="C13" s="5" t="s">
        <v>121</v>
      </c>
      <c r="D13" s="28">
        <f>VLOOKUP($A$1,LANDCOVER,10)</f>
        <v>0</v>
      </c>
      <c r="E13" s="198">
        <f t="shared" si="12"/>
        <v>0</v>
      </c>
      <c r="F13" s="191">
        <f t="shared" si="0"/>
        <v>0</v>
      </c>
      <c r="G13" s="28">
        <f t="shared" si="5"/>
        <v>0</v>
      </c>
      <c r="H13" s="28">
        <f>IFERROR(($Y13/$U13-1)*G13,0)</f>
        <v>0</v>
      </c>
      <c r="J13" s="5" t="s">
        <v>121</v>
      </c>
      <c r="K13" s="28">
        <f>VLOOKUP($A$1,LANDCOVERPOT,10)</f>
        <v>0</v>
      </c>
      <c r="L13" s="29">
        <f>K13/$K$15</f>
        <v>0</v>
      </c>
      <c r="M13" s="28">
        <f t="shared" si="6"/>
        <v>0</v>
      </c>
      <c r="N13" s="28">
        <f>IFERROR(($Y13/$U13-1)*M13,0)</f>
        <v>0</v>
      </c>
      <c r="P13" s="176">
        <v>8</v>
      </c>
      <c r="Q13" s="175" t="str">
        <f t="shared" si="1"/>
        <v>Forested Wetlands</v>
      </c>
      <c r="R13" s="177" t="str">
        <f t="shared" si="2"/>
        <v/>
      </c>
      <c r="S13" s="185">
        <f t="shared" si="7"/>
        <v>0</v>
      </c>
      <c r="T13" s="185">
        <f t="shared" si="10"/>
        <v>0</v>
      </c>
      <c r="U13" s="185">
        <f t="shared" si="3"/>
        <v>0</v>
      </c>
      <c r="V13" s="185"/>
      <c r="W13" s="185"/>
      <c r="X13" s="185"/>
      <c r="Y13" s="185"/>
      <c r="Z13" s="185"/>
      <c r="AA13" s="185"/>
      <c r="AB13" s="187">
        <f t="shared" si="8"/>
        <v>0</v>
      </c>
      <c r="AC13" s="188">
        <f t="shared" si="11"/>
        <v>0</v>
      </c>
      <c r="AD13" s="184">
        <f>0.05</f>
        <v>0.05</v>
      </c>
      <c r="AE13" s="188">
        <f t="shared" si="9"/>
        <v>0</v>
      </c>
    </row>
    <row r="14" spans="1:31" s="15" customFormat="1" x14ac:dyDescent="0.2">
      <c r="A14" s="25"/>
      <c r="C14" s="5" t="s">
        <v>7</v>
      </c>
      <c r="D14" s="28">
        <f>VLOOKUP($A$1,LANDCOVER,11)</f>
        <v>0</v>
      </c>
      <c r="E14" s="198">
        <f t="shared" si="12"/>
        <v>0</v>
      </c>
      <c r="F14" s="191">
        <f t="shared" si="0"/>
        <v>0</v>
      </c>
      <c r="G14" s="28">
        <f t="shared" si="5"/>
        <v>0</v>
      </c>
      <c r="H14" s="201"/>
      <c r="J14" s="5" t="s">
        <v>7</v>
      </c>
      <c r="K14" s="28">
        <f>VLOOKUP($A$1,LANDCOVERPOT,11)</f>
        <v>0</v>
      </c>
      <c r="L14" s="29">
        <f>K14/$K$15</f>
        <v>0</v>
      </c>
      <c r="M14" s="28">
        <f t="shared" si="6"/>
        <v>0</v>
      </c>
      <c r="N14" s="201"/>
      <c r="P14" s="176">
        <v>9</v>
      </c>
      <c r="Q14" s="175" t="str">
        <f t="shared" si="1"/>
        <v>Wetlands</v>
      </c>
      <c r="R14" s="177" t="str">
        <f t="shared" si="2"/>
        <v/>
      </c>
      <c r="S14" s="185">
        <f t="shared" si="7"/>
        <v>0</v>
      </c>
      <c r="T14" s="185">
        <f t="shared" si="10"/>
        <v>0</v>
      </c>
      <c r="U14" s="185">
        <f t="shared" si="3"/>
        <v>0</v>
      </c>
      <c r="V14" s="185"/>
      <c r="W14" s="185"/>
      <c r="X14" s="185"/>
      <c r="Y14" s="185"/>
      <c r="Z14" s="185"/>
      <c r="AA14" s="185"/>
      <c r="AB14" s="187">
        <f t="shared" si="8"/>
        <v>0</v>
      </c>
      <c r="AC14" s="188">
        <f t="shared" si="11"/>
        <v>0</v>
      </c>
      <c r="AD14" s="184">
        <f>0.05</f>
        <v>0.05</v>
      </c>
      <c r="AE14" s="188">
        <f t="shared" si="9"/>
        <v>0</v>
      </c>
    </row>
    <row r="15" spans="1:31" x14ac:dyDescent="0.25">
      <c r="C15" s="30" t="s">
        <v>38</v>
      </c>
      <c r="D15" s="26">
        <f>SUM(D6:D14)</f>
        <v>1124.3267180929079</v>
      </c>
      <c r="E15" s="27"/>
      <c r="F15" s="27"/>
      <c r="G15" s="26">
        <f ca="1">SUM(G6:G14)</f>
        <v>8166.3119758583043</v>
      </c>
      <c r="H15" s="26">
        <f ca="1">SUM(H6:H14)</f>
        <v>535.49744576964349</v>
      </c>
      <c r="J15" s="30" t="s">
        <v>38</v>
      </c>
      <c r="K15" s="26">
        <f>SUM(K6:K14)</f>
        <v>1124.3267180929079</v>
      </c>
      <c r="L15" s="26"/>
      <c r="M15" s="26">
        <f ca="1">SUM(M6:M14)</f>
        <v>8140.7577816955345</v>
      </c>
      <c r="N15" s="26">
        <f ca="1">SUM(N6:N14)</f>
        <v>639.87203217057811</v>
      </c>
      <c r="S15" s="183"/>
      <c r="T15" s="183"/>
      <c r="U15" s="183"/>
      <c r="V15" s="183"/>
      <c r="W15" s="183"/>
      <c r="X15" s="183"/>
      <c r="Y15" s="183"/>
      <c r="Z15" s="183"/>
      <c r="AA15" s="183"/>
    </row>
    <row r="16" spans="1:31" ht="16.5" thickBot="1" x14ac:dyDescent="0.3">
      <c r="C16" s="210"/>
      <c r="D16" s="211"/>
      <c r="E16" s="212"/>
      <c r="F16" s="212"/>
      <c r="G16" s="211"/>
      <c r="J16" s="210"/>
      <c r="K16" s="211"/>
      <c r="L16" s="211"/>
      <c r="M16" s="211"/>
      <c r="N16" s="213"/>
      <c r="Q16" s="261" t="s">
        <v>191</v>
      </c>
      <c r="R16" s="261" t="s">
        <v>18</v>
      </c>
      <c r="S16" s="262" t="s">
        <v>17</v>
      </c>
      <c r="T16" s="262" t="s">
        <v>21</v>
      </c>
      <c r="U16" s="261" t="s">
        <v>18</v>
      </c>
      <c r="V16" s="262" t="s">
        <v>17</v>
      </c>
      <c r="W16" s="262" t="s">
        <v>21</v>
      </c>
      <c r="X16" s="183"/>
      <c r="Y16" s="183"/>
      <c r="Z16" s="183"/>
      <c r="AA16" s="183"/>
    </row>
    <row r="17" spans="1:27" ht="15.75" customHeight="1" x14ac:dyDescent="0.25">
      <c r="C17" s="323" t="s">
        <v>176</v>
      </c>
      <c r="D17" s="323"/>
      <c r="E17" s="323"/>
      <c r="F17" s="323"/>
      <c r="G17" s="323"/>
      <c r="H17" s="323"/>
      <c r="J17" s="323" t="s">
        <v>176</v>
      </c>
      <c r="K17" s="323"/>
      <c r="L17" s="323"/>
      <c r="M17" s="323"/>
      <c r="N17" s="323"/>
      <c r="Q17" s="263" t="s">
        <v>118</v>
      </c>
      <c r="R17" s="264">
        <f ca="1">MAX(0,U8-U6)</f>
        <v>1.6497903042379303E-2</v>
      </c>
      <c r="S17" s="265">
        <f ca="1">U10-U6</f>
        <v>2.9476046989694407</v>
      </c>
      <c r="T17" s="269"/>
      <c r="U17" s="272">
        <f ca="1">(E23*D6)*(1-E24)*R17*LossCF</f>
        <v>1.5752041216366825E-2</v>
      </c>
      <c r="V17" s="273">
        <f ca="1">(E23*D6)*(E24)*S17*LossCF</f>
        <v>1.8762299907025837</v>
      </c>
      <c r="W17" s="274"/>
      <c r="X17" s="183"/>
      <c r="Y17" s="183"/>
      <c r="Z17" s="183"/>
      <c r="AA17" s="183"/>
    </row>
    <row r="18" spans="1:27" ht="15" customHeight="1" thickBot="1" x14ac:dyDescent="0.3">
      <c r="C18" s="215" t="s">
        <v>40</v>
      </c>
      <c r="D18" s="216"/>
      <c r="E18" s="230"/>
      <c r="F18" s="330" t="s">
        <v>178</v>
      </c>
      <c r="G18" s="330"/>
      <c r="H18" s="217">
        <f>SUM(D6:D7,D12:D13)/SUM(D15,-D9)</f>
        <v>0.53962214142572629</v>
      </c>
      <c r="J18" s="215" t="s">
        <v>40</v>
      </c>
      <c r="K18" s="216"/>
      <c r="L18" s="216"/>
      <c r="M18" s="228" t="s">
        <v>43</v>
      </c>
      <c r="N18" s="217">
        <f>SUM(K6:K7,K12:K13)/SUM(K15,-K9)</f>
        <v>0.63927749525552879</v>
      </c>
      <c r="Q18" s="263" t="s">
        <v>119</v>
      </c>
      <c r="R18" s="267"/>
      <c r="S18" s="264">
        <f ca="1">U10-U7</f>
        <v>0.34763774016987492</v>
      </c>
      <c r="T18" s="270"/>
      <c r="U18" s="286"/>
      <c r="V18" s="275">
        <f ca="1">E23*D7*LossCF</f>
        <v>4.5298830296834139E-2</v>
      </c>
      <c r="W18" s="287"/>
    </row>
    <row r="19" spans="1:27" s="15" customFormat="1" ht="15.75" customHeight="1" x14ac:dyDescent="0.25">
      <c r="A19" s="4"/>
      <c r="C19" s="218" t="s">
        <v>41</v>
      </c>
      <c r="D19" s="219"/>
      <c r="E19" s="219"/>
      <c r="F19" s="332" t="s">
        <v>178</v>
      </c>
      <c r="G19" s="332"/>
      <c r="H19" s="220">
        <f>D10/SUM(D15,-D9)</f>
        <v>0.25328130676164018</v>
      </c>
      <c r="J19" s="218" t="s">
        <v>41</v>
      </c>
      <c r="K19" s="219"/>
      <c r="L19" s="219"/>
      <c r="M19" s="229" t="s">
        <v>177</v>
      </c>
      <c r="N19" s="220">
        <f>K10/SUM(K15,-K9)</f>
        <v>0.2392124952267678</v>
      </c>
      <c r="Q19" s="263" t="s">
        <v>120</v>
      </c>
      <c r="R19" s="266">
        <f ca="1">U8-U12</f>
        <v>1.1762622391235189</v>
      </c>
      <c r="S19" s="266">
        <f ca="1">U10-U12</f>
        <v>4.1073690350505805</v>
      </c>
      <c r="T19" s="271"/>
      <c r="U19" s="272">
        <f ca="1">E26*D12*(1-E27)*R19*LossCF</f>
        <v>0</v>
      </c>
      <c r="V19" s="273">
        <f ca="1">E26*D12*(E27)*R19*LossCF</f>
        <v>0</v>
      </c>
      <c r="W19" s="274"/>
    </row>
    <row r="20" spans="1:27" s="15" customFormat="1" ht="15.75" customHeight="1" thickBot="1" x14ac:dyDescent="0.3">
      <c r="A20" s="4"/>
      <c r="C20" s="221" t="s">
        <v>174</v>
      </c>
      <c r="D20" s="222"/>
      <c r="E20" s="33"/>
      <c r="F20" s="333">
        <v>0</v>
      </c>
      <c r="G20" s="333"/>
      <c r="H20" s="223">
        <f ca="1">H15/G15</f>
        <v>6.557396378594281E-2</v>
      </c>
      <c r="J20" s="221" t="s">
        <v>174</v>
      </c>
      <c r="K20" s="222"/>
      <c r="L20" s="33"/>
      <c r="M20" s="227" t="s">
        <v>43</v>
      </c>
      <c r="N20" s="223">
        <f ca="1">N15/M15</f>
        <v>7.860104050870155E-2</v>
      </c>
      <c r="Q20" s="263" t="s">
        <v>121</v>
      </c>
      <c r="R20" s="279"/>
      <c r="S20" s="280">
        <f ca="1">U10-U13</f>
        <v>4.1073690350505805</v>
      </c>
      <c r="T20" s="281">
        <f>U14-U13</f>
        <v>0</v>
      </c>
      <c r="U20" s="277"/>
      <c r="V20" s="275">
        <f ca="1">E26*D13*E27*S20*LossCF</f>
        <v>0</v>
      </c>
      <c r="W20" s="276">
        <f ca="1">E26*D13*(1-E27)*S20*LossCF</f>
        <v>0</v>
      </c>
    </row>
    <row r="21" spans="1:27" s="15" customFormat="1" ht="15.75" customHeight="1" x14ac:dyDescent="0.25">
      <c r="A21" s="141"/>
      <c r="C21" s="328" t="s">
        <v>175</v>
      </c>
      <c r="D21" s="329"/>
      <c r="E21" s="21"/>
      <c r="F21" s="331" t="str">
        <f ca="1">C3</f>
        <v>5 yr / 24 hour                               </v>
      </c>
      <c r="G21" s="331"/>
      <c r="H21" s="224">
        <f ca="1">H15*7.48052/1000</f>
        <v>4.0057993530287339</v>
      </c>
      <c r="J21" s="328" t="s">
        <v>175</v>
      </c>
      <c r="K21" s="329"/>
      <c r="L21" s="225" t="s">
        <v>43</v>
      </c>
      <c r="M21" s="226" t="s">
        <v>43</v>
      </c>
      <c r="N21" s="224">
        <f ca="1">N15*7.48052/1000</f>
        <v>4.7865755340926537</v>
      </c>
      <c r="O21" s="144"/>
      <c r="Q21" s="278">
        <f>43560/12/1000*7.48052/1000</f>
        <v>2.71542876E-2</v>
      </c>
      <c r="R21" s="282"/>
      <c r="S21" s="283"/>
      <c r="T21" s="283"/>
      <c r="U21" s="21"/>
      <c r="V21" s="21"/>
      <c r="W21" s="288"/>
    </row>
    <row r="22" spans="1:27" s="15" customFormat="1" ht="15.75" customHeight="1" x14ac:dyDescent="0.25">
      <c r="A22" s="141"/>
      <c r="C22" s="318" t="s">
        <v>186</v>
      </c>
      <c r="D22" s="318"/>
      <c r="E22" s="318"/>
      <c r="F22" s="318"/>
      <c r="G22" s="318"/>
      <c r="H22" s="318"/>
      <c r="J22" s="35"/>
      <c r="K22" s="35"/>
      <c r="L22" s="37"/>
      <c r="M22" s="142"/>
      <c r="N22" s="143"/>
      <c r="O22" s="144"/>
    </row>
    <row r="23" spans="1:27" s="15" customFormat="1" ht="15.75" customHeight="1" x14ac:dyDescent="0.25">
      <c r="A23" s="141"/>
      <c r="C23" s="309" t="s">
        <v>185</v>
      </c>
      <c r="D23" s="310"/>
      <c r="E23" s="251">
        <f ca="1">INDIRECT("Summary!j"&amp;(12+A1))</f>
        <v>0.1</v>
      </c>
      <c r="F23" s="321" t="s">
        <v>194</v>
      </c>
      <c r="G23" s="321"/>
      <c r="H23" s="322"/>
      <c r="J23" s="315" t="s">
        <v>183</v>
      </c>
      <c r="K23" s="316"/>
      <c r="L23" s="316"/>
      <c r="M23" s="316"/>
      <c r="N23" s="238">
        <f ca="1">INDIRECT("Summary!M"&amp;(12+A1))</f>
        <v>9.9655353829802507E-2</v>
      </c>
      <c r="O23" s="144"/>
    </row>
    <row r="24" spans="1:27" s="15" customFormat="1" ht="15.75" customHeight="1" x14ac:dyDescent="0.25">
      <c r="A24" s="141"/>
      <c r="C24" s="338"/>
      <c r="D24" s="339"/>
      <c r="E24" s="284">
        <v>0.4</v>
      </c>
      <c r="F24" s="319" t="s">
        <v>46</v>
      </c>
      <c r="G24" s="319"/>
      <c r="H24" s="320"/>
      <c r="J24" s="239" t="s">
        <v>104</v>
      </c>
      <c r="K24" s="317" t="s">
        <v>44</v>
      </c>
      <c r="L24" s="317"/>
      <c r="M24" s="317"/>
      <c r="N24" s="240">
        <f ca="1">(N23/(N18-H18))*(N21-H21)</f>
        <v>0.78077618106391977</v>
      </c>
      <c r="O24" s="144"/>
    </row>
    <row r="25" spans="1:27" s="15" customFormat="1" ht="15.75" customHeight="1" x14ac:dyDescent="0.25">
      <c r="A25" s="141"/>
      <c r="C25" s="311" t="s">
        <v>187</v>
      </c>
      <c r="D25" s="312"/>
      <c r="E25" s="268">
        <f ca="1">SUM(U17:W18)</f>
        <v>1.9372808622157847</v>
      </c>
      <c r="F25" s="295" t="s">
        <v>44</v>
      </c>
      <c r="G25" s="295"/>
      <c r="H25" s="254"/>
      <c r="J25" s="241"/>
      <c r="K25" s="242"/>
      <c r="L25" s="243"/>
      <c r="M25" s="244"/>
      <c r="N25" s="245"/>
      <c r="O25" s="144"/>
    </row>
    <row r="26" spans="1:27" x14ac:dyDescent="0.25">
      <c r="C26" s="338" t="s">
        <v>188</v>
      </c>
      <c r="D26" s="339"/>
      <c r="E26" s="252">
        <f ca="1">INDIRECT("Summary!K"&amp;(12+A1))</f>
        <v>0</v>
      </c>
      <c r="F26" s="319" t="s">
        <v>195</v>
      </c>
      <c r="G26" s="319"/>
      <c r="H26" s="320"/>
    </row>
    <row r="27" spans="1:27" x14ac:dyDescent="0.25">
      <c r="C27" s="338"/>
      <c r="D27" s="339"/>
      <c r="E27" s="284">
        <v>0.4</v>
      </c>
      <c r="F27" s="319" t="s">
        <v>46</v>
      </c>
      <c r="G27" s="319"/>
      <c r="H27" s="320"/>
    </row>
    <row r="28" spans="1:27" x14ac:dyDescent="0.25">
      <c r="C28" s="334" t="s">
        <v>187</v>
      </c>
      <c r="D28" s="335"/>
      <c r="E28" s="285">
        <f ca="1">SUM(U19:W20)</f>
        <v>0</v>
      </c>
      <c r="F28" s="255" t="s">
        <v>44</v>
      </c>
      <c r="G28" s="255"/>
      <c r="H28" s="256"/>
    </row>
    <row r="29" spans="1:27" x14ac:dyDescent="0.25">
      <c r="C29" s="259" t="s">
        <v>190</v>
      </c>
      <c r="D29" s="249"/>
      <c r="E29" s="257">
        <f ca="1">(E23*SUM(D6:D7)+E26*SUM(D12:D13))/SUM(D6:D7,D12:D13)</f>
        <v>0.1</v>
      </c>
      <c r="F29" s="258" t="s">
        <v>189</v>
      </c>
      <c r="G29" s="258"/>
      <c r="H29" s="250"/>
    </row>
    <row r="30" spans="1:27" x14ac:dyDescent="0.25">
      <c r="C30" s="336" t="s">
        <v>187</v>
      </c>
      <c r="D30" s="337"/>
      <c r="E30" s="260">
        <f ca="1">SUM(E25,E28)</f>
        <v>1.9372808622157847</v>
      </c>
      <c r="F30" s="246" t="s">
        <v>44</v>
      </c>
      <c r="G30" s="247"/>
      <c r="H30" s="248"/>
    </row>
  </sheetData>
  <mergeCells count="28">
    <mergeCell ref="C30:D30"/>
    <mergeCell ref="C25:D25"/>
    <mergeCell ref="C26:D26"/>
    <mergeCell ref="F26:H26"/>
    <mergeCell ref="C27:D27"/>
    <mergeCell ref="F27:H27"/>
    <mergeCell ref="C28:D28"/>
    <mergeCell ref="C22:H22"/>
    <mergeCell ref="C23:D23"/>
    <mergeCell ref="F23:H23"/>
    <mergeCell ref="J23:M23"/>
    <mergeCell ref="C24:D24"/>
    <mergeCell ref="F24:H24"/>
    <mergeCell ref="K24:M24"/>
    <mergeCell ref="V4:Y4"/>
    <mergeCell ref="C21:D21"/>
    <mergeCell ref="F21:G21"/>
    <mergeCell ref="J21:K21"/>
    <mergeCell ref="C1:H1"/>
    <mergeCell ref="E2:H2"/>
    <mergeCell ref="E3:H3"/>
    <mergeCell ref="D4:H4"/>
    <mergeCell ref="J4:N4"/>
    <mergeCell ref="C17:H17"/>
    <mergeCell ref="J17:N17"/>
    <mergeCell ref="F18:G18"/>
    <mergeCell ref="F19:G19"/>
    <mergeCell ref="F20:G20"/>
  </mergeCells>
  <dataValidations count="1">
    <dataValidation type="decimal" allowBlank="1" showInputMessage="1" showErrorMessage="1" sqref="N23">
      <formula1>H18</formula1>
      <formula2>N18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Events!$B$3:$B$9</xm:f>
          </x14:formula1>
          <xm:sqref>C4:C5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30"/>
  <sheetViews>
    <sheetView showGridLines="0" workbookViewId="0">
      <pane ySplit="3" topLeftCell="A4" activePane="bottomLeft" state="frozen"/>
      <selection pane="bottomLeft" activeCell="R17" sqref="R17:W20"/>
    </sheetView>
  </sheetViews>
  <sheetFormatPr defaultRowHeight="15" x14ac:dyDescent="0.25"/>
  <cols>
    <col min="1" max="2" width="2" bestFit="1" customWidth="1"/>
    <col min="3" max="3" width="29.140625" bestFit="1" customWidth="1"/>
    <col min="4" max="4" width="10" bestFit="1" customWidth="1"/>
    <col min="5" max="5" width="8.7109375" customWidth="1"/>
    <col min="6" max="6" width="9" customWidth="1"/>
    <col min="7" max="7" width="9.85546875" customWidth="1"/>
    <col min="8" max="8" width="7.140625" bestFit="1" customWidth="1"/>
    <col min="9" max="9" width="4.7109375" customWidth="1"/>
    <col min="10" max="10" width="27.28515625" customWidth="1"/>
    <col min="11" max="11" width="11" customWidth="1"/>
    <col min="12" max="12" width="7.5703125" bestFit="1" customWidth="1"/>
    <col min="13" max="13" width="7.42578125" bestFit="1" customWidth="1"/>
    <col min="14" max="14" width="8.28515625" bestFit="1" customWidth="1"/>
    <col min="15" max="15" width="5.28515625" customWidth="1"/>
    <col min="16" max="16" width="2" bestFit="1" customWidth="1"/>
    <col min="17" max="17" width="27.42578125" bestFit="1" customWidth="1"/>
    <col min="18" max="18" width="6.7109375" bestFit="1" customWidth="1"/>
    <col min="19" max="19" width="7" bestFit="1" customWidth="1"/>
    <col min="20" max="27" width="7" customWidth="1"/>
    <col min="28" max="28" width="6" bestFit="1" customWidth="1"/>
    <col min="29" max="29" width="7" bestFit="1" customWidth="1"/>
    <col min="30" max="30" width="5" bestFit="1" customWidth="1"/>
    <col min="31" max="31" width="6" bestFit="1" customWidth="1"/>
  </cols>
  <sheetData>
    <row r="1" spans="1:31" s="8" customFormat="1" ht="19.5" customHeight="1" x14ac:dyDescent="0.25">
      <c r="A1" s="9">
        <v>6</v>
      </c>
      <c r="C1" s="326" t="str">
        <f>VLOOKUP(A1,LANDCOVER,2)</f>
        <v>WHITE OAK CREEK</v>
      </c>
      <c r="D1" s="326"/>
      <c r="E1" s="326"/>
      <c r="F1" s="326"/>
      <c r="G1" s="326"/>
      <c r="H1" s="326"/>
    </row>
    <row r="2" spans="1:31" s="15" customFormat="1" ht="15.75" x14ac:dyDescent="0.25">
      <c r="A2" s="14"/>
      <c r="C2" s="17" t="s">
        <v>98</v>
      </c>
      <c r="D2" s="18" t="s">
        <v>32</v>
      </c>
      <c r="E2" s="314" t="s">
        <v>26</v>
      </c>
      <c r="F2" s="314"/>
      <c r="G2" s="314"/>
      <c r="H2" s="314"/>
    </row>
    <row r="3" spans="1:31" s="21" customFormat="1" ht="15.75" customHeight="1" x14ac:dyDescent="0.25">
      <c r="A3" s="20"/>
      <c r="C3" s="65" t="str">
        <f ca="1">INDIRECT("Summary!I"&amp;(12+A1))</f>
        <v>5 yr / 24 hour                               </v>
      </c>
      <c r="D3" s="22">
        <f ca="1">VLOOKUP($C$3,Events!$B$3:$D$9,2,FALSE)</f>
        <v>4.38</v>
      </c>
      <c r="E3" s="313" t="str">
        <f ca="1">VLOOKUP($C$3,Events!$B$3:$D$9,3,FALSE)</f>
        <v>Site ID: 31-4782</v>
      </c>
      <c r="F3" s="313"/>
      <c r="G3" s="313"/>
      <c r="H3" s="313"/>
    </row>
    <row r="4" spans="1:31" s="33" customFormat="1" x14ac:dyDescent="0.25">
      <c r="A4" s="32"/>
      <c r="C4" s="34"/>
      <c r="D4" s="327" t="s">
        <v>42</v>
      </c>
      <c r="E4" s="327"/>
      <c r="F4" s="327"/>
      <c r="G4" s="327"/>
      <c r="H4" s="327"/>
      <c r="J4" s="324" t="s">
        <v>45</v>
      </c>
      <c r="K4" s="324"/>
      <c r="L4" s="324"/>
      <c r="M4" s="324"/>
      <c r="N4" s="324"/>
      <c r="Q4" s="190" t="s">
        <v>171</v>
      </c>
      <c r="V4" s="325" t="s">
        <v>173</v>
      </c>
      <c r="W4" s="325"/>
      <c r="X4" s="325"/>
      <c r="Y4" s="325"/>
    </row>
    <row r="5" spans="1:31" s="15" customFormat="1" ht="25.5" x14ac:dyDescent="0.25">
      <c r="A5" s="14"/>
      <c r="C5" s="16"/>
      <c r="D5" s="3" t="s">
        <v>23</v>
      </c>
      <c r="E5" s="3" t="s">
        <v>31</v>
      </c>
      <c r="F5" s="19" t="s">
        <v>29</v>
      </c>
      <c r="G5" s="19" t="s">
        <v>95</v>
      </c>
      <c r="H5" s="19" t="s">
        <v>96</v>
      </c>
      <c r="J5" s="16" t="s">
        <v>23</v>
      </c>
      <c r="K5" s="3" t="s">
        <v>23</v>
      </c>
      <c r="L5" s="3" t="s">
        <v>31</v>
      </c>
      <c r="M5" s="19" t="s">
        <v>30</v>
      </c>
      <c r="N5" s="19" t="s">
        <v>96</v>
      </c>
      <c r="Q5" s="186" t="s">
        <v>165</v>
      </c>
      <c r="R5" s="178" t="s">
        <v>167</v>
      </c>
      <c r="S5" s="184" t="s">
        <v>20</v>
      </c>
      <c r="T5" s="184" t="s">
        <v>168</v>
      </c>
      <c r="U5" s="184" t="s">
        <v>19</v>
      </c>
      <c r="V5" s="209" t="s">
        <v>167</v>
      </c>
      <c r="W5" s="209" t="s">
        <v>20</v>
      </c>
      <c r="X5" s="209" t="s">
        <v>168</v>
      </c>
      <c r="Y5" s="209" t="s">
        <v>19</v>
      </c>
      <c r="Z5" s="184"/>
      <c r="AA5" s="184"/>
      <c r="AB5" s="184" t="s">
        <v>169</v>
      </c>
      <c r="AC5" s="175" t="s">
        <v>170</v>
      </c>
      <c r="AD5" s="184" t="s">
        <v>168</v>
      </c>
      <c r="AE5" s="175" t="s">
        <v>172</v>
      </c>
    </row>
    <row r="6" spans="1:31" s="15" customFormat="1" x14ac:dyDescent="0.2">
      <c r="A6" s="25"/>
      <c r="C6" s="5" t="s">
        <v>118</v>
      </c>
      <c r="D6" s="28">
        <f>VLOOKUP($A$1,LANDCOVER,3)</f>
        <v>248.64632445923883</v>
      </c>
      <c r="E6" s="198">
        <f>D6/$D$15</f>
        <v>0.6310918609194559</v>
      </c>
      <c r="F6" s="191">
        <f t="shared" ref="F6:F14" ca="1" si="0">IF(D6&gt;0,IF($D$3&lt;0.05*S6,0,($D$3-T6)^2/($D$3-A6+S6)),0)</f>
        <v>1.860459723049557</v>
      </c>
      <c r="G6" s="28">
        <f ca="1">D6*$F6*43560/12/1000</f>
        <v>1679.2251931448343</v>
      </c>
      <c r="H6" s="28">
        <f ca="1">IFERROR(($Y6/$U6-1)*G6,0)</f>
        <v>372.64052651461151</v>
      </c>
      <c r="J6" s="5" t="s">
        <v>118</v>
      </c>
      <c r="K6" s="28">
        <f>VLOOKUP($A$1,LANDCOVERPOT,3)</f>
        <v>322.02076161732538</v>
      </c>
      <c r="L6" s="29">
        <f>K6/$K$15</f>
        <v>0.81732429444012744</v>
      </c>
      <c r="M6" s="28">
        <f ca="1">K6*$F6*43560/12/1000</f>
        <v>2174.7571648184394</v>
      </c>
      <c r="N6" s="28">
        <f ca="1">IFERROR(($Y6/$U6-1)*M6,0)</f>
        <v>482.6051075506162</v>
      </c>
      <c r="P6" s="176">
        <v>1</v>
      </c>
      <c r="Q6" s="192" t="str">
        <f t="shared" ref="Q6:Q14" si="1">C6</f>
        <v>Tree Canopy</v>
      </c>
      <c r="R6" s="193">
        <f t="shared" ref="R6:R14" si="2">VLOOKUP($A$1,CompositeCN,$P6+1)</f>
        <v>76.601732977860948</v>
      </c>
      <c r="S6" s="194">
        <f>IFERROR(1000/R6-10,0)</f>
        <v>3.0545349449080348</v>
      </c>
      <c r="T6" s="194">
        <f>0.2*S6+ModelCi</f>
        <v>0.66090698898160705</v>
      </c>
      <c r="U6" s="194">
        <f t="shared" ref="U6:U14" ca="1" si="3">IF(D6&gt;0,IF($D$3&lt;0.05*S6,0,($D$3-T6)^2/($D$3-A6+S6)),0)</f>
        <v>1.860459723049557</v>
      </c>
      <c r="V6" s="203">
        <f>R6-CNadj</f>
        <v>78.601732977860948</v>
      </c>
      <c r="W6" s="204">
        <f>IFERROR(1000/V6-10,0)</f>
        <v>2.7223658068920837</v>
      </c>
      <c r="X6" s="204">
        <f t="shared" ref="X6:X7" si="4">0.2*W6</f>
        <v>0.54447316137841673</v>
      </c>
      <c r="Y6" s="205">
        <f ca="1">IF(D6&gt;0,IF($D$3&lt;0.05*W6,0,($D$3-X6)^2/($D$3-E6+W6)),0)</f>
        <v>2.2733183995312043</v>
      </c>
      <c r="Z6" s="202"/>
      <c r="AA6" s="202"/>
      <c r="AB6" s="187">
        <f>0.05*S6</f>
        <v>0.15272674724540175</v>
      </c>
      <c r="AC6" s="188">
        <f>1.33*S6^1.15</f>
        <v>4.8032866327993009</v>
      </c>
      <c r="AD6" s="189">
        <f>0.05+ModelCi</f>
        <v>0.1</v>
      </c>
      <c r="AE6" s="188">
        <f>AD6*S6</f>
        <v>0.3054534944908035</v>
      </c>
    </row>
    <row r="7" spans="1:31" s="15" customFormat="1" x14ac:dyDescent="0.2">
      <c r="A7" s="25"/>
      <c r="C7" s="5" t="s">
        <v>119</v>
      </c>
      <c r="D7" s="28">
        <f>VLOOKUP($A$1,LANDCOVER,4)</f>
        <v>0.10106569675607079</v>
      </c>
      <c r="E7" s="198">
        <f>D7/$D$15</f>
        <v>2.5651591182626154E-4</v>
      </c>
      <c r="F7" s="191">
        <f t="shared" ca="1" si="0"/>
        <v>3.7597312948807056</v>
      </c>
      <c r="G7" s="28">
        <f t="shared" ref="G7:G14" ca="1" si="5">D7*$F7*43560/12/1000</f>
        <v>1.3793269024457835</v>
      </c>
      <c r="H7" s="28">
        <f ca="1">($Y7/$U7-1)*G7</f>
        <v>0.12762165484241039</v>
      </c>
      <c r="J7" s="5" t="s">
        <v>119</v>
      </c>
      <c r="K7" s="28">
        <f>VLOOKUP($A$1,LANDCOVERPOT,4)</f>
        <v>1.8228891075049738</v>
      </c>
      <c r="L7" s="29">
        <f>K7/$K$15</f>
        <v>4.6266940869005672E-3</v>
      </c>
      <c r="M7" s="28">
        <f t="shared" ref="M7:M14" ca="1" si="6">K7*$F7*43560/12/1000</f>
        <v>24.8784708052385</v>
      </c>
      <c r="N7" s="28">
        <f ca="1">($Y7/$U7-1)*M7</f>
        <v>2.3018702879522288</v>
      </c>
      <c r="P7" s="176">
        <v>2</v>
      </c>
      <c r="Q7" s="195" t="str">
        <f t="shared" si="1"/>
        <v>Tree Canopy over Impervious</v>
      </c>
      <c r="R7" s="196">
        <f t="shared" si="2"/>
        <v>96</v>
      </c>
      <c r="S7" s="197">
        <f t="shared" ref="S7:S14" si="7">IFERROR(1000/R7-10,0)</f>
        <v>0.41666666666666607</v>
      </c>
      <c r="T7" s="197">
        <f>0.2*S7+ModelCi</f>
        <v>0.13333333333333322</v>
      </c>
      <c r="U7" s="197">
        <f t="shared" ca="1" si="3"/>
        <v>3.7597312948807056</v>
      </c>
      <c r="V7" s="206">
        <f>R7-CNadj</f>
        <v>98</v>
      </c>
      <c r="W7" s="207">
        <f>IFERROR(1000/V7-10,0)</f>
        <v>0.20408163265306101</v>
      </c>
      <c r="X7" s="207">
        <f t="shared" si="4"/>
        <v>4.0816326530612207E-2</v>
      </c>
      <c r="Y7" s="208">
        <f ca="1">IF(D7&gt;0,IF($D$3&lt;0.05*W7,0,($D$3-X7)^2/($D$3-E7+W7)),0)</f>
        <v>4.1075988879543024</v>
      </c>
      <c r="Z7" s="185"/>
      <c r="AA7" s="185"/>
      <c r="AB7" s="187">
        <f t="shared" ref="AB7:AB14" si="8">0.05*S7</f>
        <v>2.0833333333333304E-2</v>
      </c>
      <c r="AC7" s="188">
        <f>1.33*S7^1.15</f>
        <v>0.48596916396643658</v>
      </c>
      <c r="AD7" s="189">
        <f>0.05+ModelCi</f>
        <v>0.1</v>
      </c>
      <c r="AE7" s="188">
        <f t="shared" ref="AE7:AE14" si="9">AD7*S7</f>
        <v>4.1666666666666609E-2</v>
      </c>
    </row>
    <row r="8" spans="1:31" s="15" customFormat="1" x14ac:dyDescent="0.2">
      <c r="A8" s="25"/>
      <c r="C8" s="5" t="s">
        <v>2</v>
      </c>
      <c r="D8" s="28">
        <f>VLOOKUP($A$1,LANDCOVER,5)</f>
        <v>104.61312742264818</v>
      </c>
      <c r="E8" s="198">
        <f>D8/$D$15</f>
        <v>0.26551968304919016</v>
      </c>
      <c r="F8" s="191">
        <f t="shared" ca="1" si="0"/>
        <v>1.9313315120132637</v>
      </c>
      <c r="G8" s="28">
        <f t="shared" ca="1" si="5"/>
        <v>733.41474530867811</v>
      </c>
      <c r="H8" s="199"/>
      <c r="J8" s="5" t="s">
        <v>2</v>
      </c>
      <c r="K8" s="28">
        <f>VLOOKUP($A$1,LANDCOVERPOT,5)</f>
        <v>31.23869026456164</v>
      </c>
      <c r="L8" s="29">
        <f>K8/$K$15</f>
        <v>7.9287249528518719E-2</v>
      </c>
      <c r="M8" s="28">
        <f t="shared" ca="1" si="6"/>
        <v>219.00612885415057</v>
      </c>
      <c r="N8" s="199"/>
      <c r="P8" s="176">
        <v>3</v>
      </c>
      <c r="Q8" s="175" t="str">
        <f t="shared" si="1"/>
        <v>Pervious</v>
      </c>
      <c r="R8" s="177">
        <f t="shared" si="2"/>
        <v>76.862673756880312</v>
      </c>
      <c r="S8" s="185">
        <f t="shared" si="7"/>
        <v>3.0102161572343906</v>
      </c>
      <c r="T8" s="185">
        <f t="shared" ref="T8:T14" si="10">0.2*S8</f>
        <v>0.60204323144687821</v>
      </c>
      <c r="U8" s="185">
        <f t="shared" ca="1" si="3"/>
        <v>1.9313315120132637</v>
      </c>
      <c r="V8" s="185"/>
      <c r="W8" s="185"/>
      <c r="X8" s="185"/>
      <c r="Y8" s="185"/>
      <c r="Z8" s="185"/>
      <c r="AA8" s="185"/>
      <c r="AB8" s="187">
        <f t="shared" si="8"/>
        <v>0.15051080786171955</v>
      </c>
      <c r="AC8" s="188">
        <f t="shared" ref="AC8:AC14" si="11">1.33*S8^1.15</f>
        <v>4.723228711708229</v>
      </c>
      <c r="AD8" s="184">
        <f>0.05</f>
        <v>0.05</v>
      </c>
      <c r="AE8" s="188">
        <f t="shared" si="9"/>
        <v>0.15051080786171955</v>
      </c>
    </row>
    <row r="9" spans="1:31" s="15" customFormat="1" x14ac:dyDescent="0.2">
      <c r="A9" s="25"/>
      <c r="C9" s="5" t="s">
        <v>12</v>
      </c>
      <c r="D9" s="28">
        <f>VLOOKUP($A$1,LANDCOVER,6)</f>
        <v>14.329336648380902</v>
      </c>
      <c r="E9" s="198">
        <f>D9/$D$15</f>
        <v>3.6369440613430518E-2</v>
      </c>
      <c r="F9" s="191">
        <f t="shared" ca="1" si="0"/>
        <v>4.38</v>
      </c>
      <c r="G9" s="28">
        <f t="shared" ca="1" si="5"/>
        <v>227.82785510726731</v>
      </c>
      <c r="H9" s="200"/>
      <c r="J9" s="5" t="s">
        <v>12</v>
      </c>
      <c r="K9" s="28">
        <f>VLOOKUP($A$1,LANDCOVERPOT,6)</f>
        <v>14.329336648380902</v>
      </c>
      <c r="L9" s="29">
        <f>K9/$K$15</f>
        <v>3.6369440613430525E-2</v>
      </c>
      <c r="M9" s="28">
        <f t="shared" ca="1" si="6"/>
        <v>227.82785510726731</v>
      </c>
      <c r="N9" s="200"/>
      <c r="P9" s="176">
        <v>4</v>
      </c>
      <c r="Q9" s="175" t="str">
        <f t="shared" si="1"/>
        <v>Water</v>
      </c>
      <c r="R9" s="177">
        <f t="shared" si="2"/>
        <v>100</v>
      </c>
      <c r="S9" s="185">
        <f t="shared" si="7"/>
        <v>0</v>
      </c>
      <c r="T9" s="185">
        <f t="shared" si="10"/>
        <v>0</v>
      </c>
      <c r="U9" s="185">
        <f t="shared" ca="1" si="3"/>
        <v>4.38</v>
      </c>
      <c r="V9" s="185"/>
      <c r="W9" s="185"/>
      <c r="X9" s="185"/>
      <c r="Y9" s="185"/>
      <c r="Z9" s="185"/>
      <c r="AA9" s="185"/>
      <c r="AB9" s="187">
        <f t="shared" si="8"/>
        <v>0</v>
      </c>
      <c r="AC9" s="188">
        <f t="shared" si="11"/>
        <v>0</v>
      </c>
      <c r="AD9" s="184"/>
      <c r="AE9" s="188">
        <f t="shared" si="9"/>
        <v>0</v>
      </c>
    </row>
    <row r="10" spans="1:31" s="15" customFormat="1" x14ac:dyDescent="0.2">
      <c r="A10" s="25"/>
      <c r="C10" s="5" t="s">
        <v>4</v>
      </c>
      <c r="D10" s="28">
        <f>VLOOKUP($A$1,LANDCOVER,7)</f>
        <v>15.523592179975253</v>
      </c>
      <c r="E10" s="198">
        <f>D10/$D$15</f>
        <v>3.9400593185206362E-2</v>
      </c>
      <c r="F10" s="191">
        <f t="shared" ca="1" si="0"/>
        <v>4.1073690350505805</v>
      </c>
      <c r="G10" s="28">
        <f t="shared" ca="1" si="5"/>
        <v>231.45287225300481</v>
      </c>
      <c r="H10" s="200"/>
      <c r="J10" s="5" t="s">
        <v>4</v>
      </c>
      <c r="K10" s="28">
        <f>VLOOKUP($A$1,LANDCOVERPOT,7)</f>
        <v>13.801768769226353</v>
      </c>
      <c r="L10" s="29">
        <f>K10/$K$15</f>
        <v>3.5030415010132071E-2</v>
      </c>
      <c r="M10" s="28">
        <f t="shared" ca="1" si="6"/>
        <v>205.78091634808399</v>
      </c>
      <c r="N10" s="200"/>
      <c r="P10" s="176">
        <v>5</v>
      </c>
      <c r="Q10" s="175" t="str">
        <f t="shared" si="1"/>
        <v>Impervious</v>
      </c>
      <c r="R10" s="177">
        <f t="shared" si="2"/>
        <v>98</v>
      </c>
      <c r="S10" s="185">
        <f t="shared" si="7"/>
        <v>0.20408163265306101</v>
      </c>
      <c r="T10" s="185">
        <f t="shared" si="10"/>
        <v>4.0816326530612207E-2</v>
      </c>
      <c r="U10" s="185">
        <f t="shared" ca="1" si="3"/>
        <v>4.1073690350505805</v>
      </c>
      <c r="V10" s="185"/>
      <c r="W10" s="185"/>
      <c r="X10" s="185"/>
      <c r="Y10" s="185"/>
      <c r="Z10" s="185"/>
      <c r="AA10" s="185"/>
      <c r="AB10" s="187">
        <f t="shared" si="8"/>
        <v>1.0204081632653052E-2</v>
      </c>
      <c r="AC10" s="188">
        <f t="shared" si="11"/>
        <v>0.2138583190676947</v>
      </c>
      <c r="AD10" s="184">
        <f>0.05</f>
        <v>0.05</v>
      </c>
      <c r="AE10" s="188">
        <f t="shared" si="9"/>
        <v>1.0204081632653052E-2</v>
      </c>
    </row>
    <row r="11" spans="1:31" s="15" customFormat="1" x14ac:dyDescent="0.2">
      <c r="A11" s="25"/>
      <c r="C11" s="5" t="s">
        <v>9</v>
      </c>
      <c r="D11" s="28">
        <f>VLOOKUP($A$1,LANDCOVER,8)</f>
        <v>10.780423355445233</v>
      </c>
      <c r="E11" s="198">
        <f t="shared" ref="E11:E14" si="12">D11/$D$15</f>
        <v>2.7361906320890739E-2</v>
      </c>
      <c r="F11" s="191">
        <f t="shared" ca="1" si="0"/>
        <v>3.2683634294079362</v>
      </c>
      <c r="G11" s="28">
        <f t="shared" ca="1" si="5"/>
        <v>127.9006594579548</v>
      </c>
      <c r="H11" s="200"/>
      <c r="J11" s="5" t="s">
        <v>9</v>
      </c>
      <c r="K11" s="28">
        <f>VLOOKUP($A$1,LANDCOVERPOT,8)</f>
        <v>10.780423355445233</v>
      </c>
      <c r="L11" s="29"/>
      <c r="M11" s="28">
        <f t="shared" ca="1" si="6"/>
        <v>127.9006594579548</v>
      </c>
      <c r="N11" s="200"/>
      <c r="P11" s="176">
        <v>6</v>
      </c>
      <c r="Q11" s="175" t="str">
        <f t="shared" si="1"/>
        <v>Bare Earth</v>
      </c>
      <c r="R11" s="177">
        <f t="shared" si="2"/>
        <v>91.095786523469698</v>
      </c>
      <c r="S11" s="185">
        <f t="shared" si="7"/>
        <v>0.97745612792269476</v>
      </c>
      <c r="T11" s="185">
        <f t="shared" si="10"/>
        <v>0.19549122558453896</v>
      </c>
      <c r="U11" s="185">
        <f t="shared" ca="1" si="3"/>
        <v>3.2683634294079362</v>
      </c>
      <c r="V11" s="185"/>
      <c r="W11" s="185"/>
      <c r="X11" s="185"/>
      <c r="Y11" s="185"/>
      <c r="Z11" s="185"/>
      <c r="AA11" s="185"/>
      <c r="AB11" s="187">
        <f t="shared" si="8"/>
        <v>4.8872806396134741E-2</v>
      </c>
      <c r="AC11" s="188">
        <f t="shared" si="11"/>
        <v>1.2955778238719335</v>
      </c>
      <c r="AD11" s="184">
        <f>0.05</f>
        <v>0.05</v>
      </c>
      <c r="AE11" s="188">
        <f t="shared" si="9"/>
        <v>4.8872806396134741E-2</v>
      </c>
    </row>
    <row r="12" spans="1:31" s="15" customFormat="1" x14ac:dyDescent="0.2">
      <c r="A12" s="25"/>
      <c r="C12" s="5" t="s">
        <v>120</v>
      </c>
      <c r="D12" s="28">
        <f>VLOOKUP($A$1,LANDCOVER,9)</f>
        <v>0</v>
      </c>
      <c r="E12" s="198">
        <f t="shared" si="12"/>
        <v>0</v>
      </c>
      <c r="F12" s="191">
        <f t="shared" si="0"/>
        <v>0</v>
      </c>
      <c r="G12" s="28">
        <f t="shared" si="5"/>
        <v>0</v>
      </c>
      <c r="H12" s="28">
        <f>IFERROR(($Y12/$U12-1)*G12,0)</f>
        <v>0</v>
      </c>
      <c r="J12" s="5" t="s">
        <v>120</v>
      </c>
      <c r="K12" s="28">
        <f>VLOOKUP($A$1,LANDCOVERPOT,9)</f>
        <v>0</v>
      </c>
      <c r="L12" s="29"/>
      <c r="M12" s="28">
        <f t="shared" si="6"/>
        <v>0</v>
      </c>
      <c r="N12" s="28">
        <f>IFERROR(($Y12/$U12-1)*M12,0)</f>
        <v>0</v>
      </c>
      <c r="P12" s="176">
        <v>7</v>
      </c>
      <c r="Q12" s="175" t="str">
        <f t="shared" si="1"/>
        <v>Forested Open Space</v>
      </c>
      <c r="R12" s="177" t="str">
        <f t="shared" si="2"/>
        <v/>
      </c>
      <c r="S12" s="185">
        <f t="shared" si="7"/>
        <v>0</v>
      </c>
      <c r="T12" s="185">
        <f t="shared" si="10"/>
        <v>0</v>
      </c>
      <c r="U12" s="185">
        <f t="shared" si="3"/>
        <v>0</v>
      </c>
      <c r="V12" s="185"/>
      <c r="W12" s="185"/>
      <c r="X12" s="185"/>
      <c r="Y12" s="185"/>
      <c r="Z12" s="185"/>
      <c r="AA12" s="185"/>
      <c r="AB12" s="187">
        <f t="shared" si="8"/>
        <v>0</v>
      </c>
      <c r="AC12" s="188">
        <f t="shared" si="11"/>
        <v>0</v>
      </c>
      <c r="AD12" s="184">
        <f>0.05</f>
        <v>0.05</v>
      </c>
      <c r="AE12" s="188">
        <f t="shared" si="9"/>
        <v>0</v>
      </c>
    </row>
    <row r="13" spans="1:31" s="15" customFormat="1" x14ac:dyDescent="0.2">
      <c r="A13" s="25"/>
      <c r="C13" s="5" t="s">
        <v>121</v>
      </c>
      <c r="D13" s="28">
        <f>VLOOKUP($A$1,LANDCOVER,10)</f>
        <v>0</v>
      </c>
      <c r="E13" s="198">
        <f t="shared" si="12"/>
        <v>0</v>
      </c>
      <c r="F13" s="191">
        <f t="shared" si="0"/>
        <v>0</v>
      </c>
      <c r="G13" s="28">
        <f t="shared" si="5"/>
        <v>0</v>
      </c>
      <c r="H13" s="28">
        <f>IFERROR(($Y13/$U13-1)*G13,0)</f>
        <v>0</v>
      </c>
      <c r="J13" s="5" t="s">
        <v>121</v>
      </c>
      <c r="K13" s="28">
        <f>VLOOKUP($A$1,LANDCOVERPOT,10)</f>
        <v>0</v>
      </c>
      <c r="L13" s="29">
        <f>K13/$K$15</f>
        <v>0</v>
      </c>
      <c r="M13" s="28">
        <f t="shared" si="6"/>
        <v>0</v>
      </c>
      <c r="N13" s="28">
        <f>IFERROR(($Y13/$U13-1)*M13,0)</f>
        <v>0</v>
      </c>
      <c r="P13" s="176">
        <v>8</v>
      </c>
      <c r="Q13" s="175" t="str">
        <f t="shared" si="1"/>
        <v>Forested Wetlands</v>
      </c>
      <c r="R13" s="177" t="str">
        <f t="shared" si="2"/>
        <v/>
      </c>
      <c r="S13" s="185">
        <f t="shared" si="7"/>
        <v>0</v>
      </c>
      <c r="T13" s="185">
        <f t="shared" si="10"/>
        <v>0</v>
      </c>
      <c r="U13" s="185">
        <f t="shared" si="3"/>
        <v>0</v>
      </c>
      <c r="V13" s="185"/>
      <c r="W13" s="185"/>
      <c r="X13" s="185"/>
      <c r="Y13" s="185"/>
      <c r="Z13" s="185"/>
      <c r="AA13" s="185"/>
      <c r="AB13" s="187">
        <f t="shared" si="8"/>
        <v>0</v>
      </c>
      <c r="AC13" s="188">
        <f t="shared" si="11"/>
        <v>0</v>
      </c>
      <c r="AD13" s="184">
        <f>0.05</f>
        <v>0.05</v>
      </c>
      <c r="AE13" s="188">
        <f t="shared" si="9"/>
        <v>0</v>
      </c>
    </row>
    <row r="14" spans="1:31" s="15" customFormat="1" x14ac:dyDescent="0.2">
      <c r="A14" s="25"/>
      <c r="C14" s="5" t="s">
        <v>7</v>
      </c>
      <c r="D14" s="28">
        <f>VLOOKUP($A$1,LANDCOVER,11)</f>
        <v>0</v>
      </c>
      <c r="E14" s="198">
        <f t="shared" si="12"/>
        <v>0</v>
      </c>
      <c r="F14" s="191">
        <f t="shared" si="0"/>
        <v>0</v>
      </c>
      <c r="G14" s="28">
        <f t="shared" si="5"/>
        <v>0</v>
      </c>
      <c r="H14" s="201"/>
      <c r="J14" s="5" t="s">
        <v>7</v>
      </c>
      <c r="K14" s="28">
        <f>VLOOKUP($A$1,LANDCOVERPOT,11)</f>
        <v>0</v>
      </c>
      <c r="L14" s="29">
        <f>K14/$K$15</f>
        <v>0</v>
      </c>
      <c r="M14" s="28">
        <f t="shared" si="6"/>
        <v>0</v>
      </c>
      <c r="N14" s="201"/>
      <c r="P14" s="176">
        <v>9</v>
      </c>
      <c r="Q14" s="175" t="str">
        <f t="shared" si="1"/>
        <v>Wetlands</v>
      </c>
      <c r="R14" s="177" t="str">
        <f t="shared" si="2"/>
        <v/>
      </c>
      <c r="S14" s="185">
        <f t="shared" si="7"/>
        <v>0</v>
      </c>
      <c r="T14" s="185">
        <f t="shared" si="10"/>
        <v>0</v>
      </c>
      <c r="U14" s="185">
        <f t="shared" si="3"/>
        <v>0</v>
      </c>
      <c r="V14" s="185"/>
      <c r="W14" s="185"/>
      <c r="X14" s="185"/>
      <c r="Y14" s="185"/>
      <c r="Z14" s="185"/>
      <c r="AA14" s="185"/>
      <c r="AB14" s="187">
        <f t="shared" si="8"/>
        <v>0</v>
      </c>
      <c r="AC14" s="188">
        <f t="shared" si="11"/>
        <v>0</v>
      </c>
      <c r="AD14" s="184">
        <f>0.05</f>
        <v>0.05</v>
      </c>
      <c r="AE14" s="188">
        <f t="shared" si="9"/>
        <v>0</v>
      </c>
    </row>
    <row r="15" spans="1:31" x14ac:dyDescent="0.25">
      <c r="C15" s="30" t="s">
        <v>38</v>
      </c>
      <c r="D15" s="26">
        <f>SUM(D6:D14)</f>
        <v>393.99386976244449</v>
      </c>
      <c r="E15" s="27"/>
      <c r="F15" s="27"/>
      <c r="G15" s="26">
        <f ca="1">SUM(G6:G14)</f>
        <v>3001.2006521741851</v>
      </c>
      <c r="H15" s="26">
        <f ca="1">SUM(H6:H14)</f>
        <v>372.76814816945392</v>
      </c>
      <c r="J15" s="30" t="s">
        <v>38</v>
      </c>
      <c r="K15" s="26">
        <f>SUM(K6:K14)</f>
        <v>393.99386976244443</v>
      </c>
      <c r="L15" s="26"/>
      <c r="M15" s="26">
        <f ca="1">SUM(M6:M14)</f>
        <v>2980.151195391134</v>
      </c>
      <c r="N15" s="26">
        <f ca="1">SUM(N6:N14)</f>
        <v>484.90697783856842</v>
      </c>
      <c r="S15" s="183"/>
      <c r="T15" s="183"/>
      <c r="U15" s="183"/>
      <c r="V15" s="183"/>
      <c r="W15" s="183"/>
      <c r="X15" s="183"/>
      <c r="Y15" s="183"/>
      <c r="Z15" s="183"/>
      <c r="AA15" s="183"/>
    </row>
    <row r="16" spans="1:31" ht="16.5" thickBot="1" x14ac:dyDescent="0.3">
      <c r="C16" s="210"/>
      <c r="D16" s="211"/>
      <c r="E16" s="212"/>
      <c r="F16" s="212"/>
      <c r="G16" s="211"/>
      <c r="J16" s="210"/>
      <c r="K16" s="211"/>
      <c r="L16" s="211"/>
      <c r="M16" s="211"/>
      <c r="N16" s="213"/>
      <c r="Q16" s="261" t="s">
        <v>191</v>
      </c>
      <c r="R16" s="261" t="s">
        <v>18</v>
      </c>
      <c r="S16" s="262" t="s">
        <v>17</v>
      </c>
      <c r="T16" s="262" t="s">
        <v>21</v>
      </c>
      <c r="U16" s="261" t="s">
        <v>18</v>
      </c>
      <c r="V16" s="262" t="s">
        <v>17</v>
      </c>
      <c r="W16" s="262" t="s">
        <v>21</v>
      </c>
      <c r="X16" s="183"/>
      <c r="Y16" s="183"/>
      <c r="Z16" s="183"/>
      <c r="AA16" s="183"/>
    </row>
    <row r="17" spans="1:27" ht="15.75" customHeight="1" x14ac:dyDescent="0.25">
      <c r="C17" s="323" t="s">
        <v>176</v>
      </c>
      <c r="D17" s="323"/>
      <c r="E17" s="323"/>
      <c r="F17" s="323"/>
      <c r="G17" s="323"/>
      <c r="H17" s="323"/>
      <c r="J17" s="323" t="s">
        <v>176</v>
      </c>
      <c r="K17" s="323"/>
      <c r="L17" s="323"/>
      <c r="M17" s="323"/>
      <c r="N17" s="323"/>
      <c r="Q17" s="263" t="s">
        <v>118</v>
      </c>
      <c r="R17" s="264">
        <f ca="1">MAX(0,U8-U6)</f>
        <v>7.0871788963706717E-2</v>
      </c>
      <c r="S17" s="265">
        <f ca="1">U10-U6</f>
        <v>2.2469093120010237</v>
      </c>
      <c r="T17" s="269"/>
      <c r="U17" s="272">
        <f ca="1">(E23*D6)*(1-E24)*R17*LossCF</f>
        <v>2.8710787386820827E-2</v>
      </c>
      <c r="V17" s="273">
        <f ca="1">(E23*D6)*(E24)*S17*LossCF</f>
        <v>0.60682853245847423</v>
      </c>
      <c r="W17" s="274"/>
      <c r="X17" s="183"/>
      <c r="Y17" s="183"/>
      <c r="Z17" s="183"/>
      <c r="AA17" s="183"/>
    </row>
    <row r="18" spans="1:27" ht="15" customHeight="1" thickBot="1" x14ac:dyDescent="0.3">
      <c r="C18" s="215" t="s">
        <v>40</v>
      </c>
      <c r="D18" s="216"/>
      <c r="E18" s="230"/>
      <c r="F18" s="330" t="s">
        <v>178</v>
      </c>
      <c r="G18" s="330"/>
      <c r="H18" s="217">
        <f>SUM(D6:D7,D12:D13)/SUM(D15,-D9)</f>
        <v>0.65517679019352348</v>
      </c>
      <c r="J18" s="215" t="s">
        <v>40</v>
      </c>
      <c r="K18" s="216"/>
      <c r="L18" s="216"/>
      <c r="M18" s="228" t="s">
        <v>43</v>
      </c>
      <c r="N18" s="217">
        <f>SUM(K6:K7,K12:K13)/SUM(K15,-K9)</f>
        <v>0.85297314465646235</v>
      </c>
      <c r="Q18" s="263" t="s">
        <v>119</v>
      </c>
      <c r="R18" s="267"/>
      <c r="S18" s="264">
        <f ca="1">U10-U7</f>
        <v>0.34763774016987492</v>
      </c>
      <c r="T18" s="270"/>
      <c r="U18" s="286"/>
      <c r="V18" s="275">
        <f ca="1">E23*D7*LossCF</f>
        <v>2.7443669962087336E-4</v>
      </c>
      <c r="W18" s="287"/>
    </row>
    <row r="19" spans="1:27" s="15" customFormat="1" ht="15.75" customHeight="1" x14ac:dyDescent="0.25">
      <c r="A19" s="4"/>
      <c r="C19" s="218" t="s">
        <v>41</v>
      </c>
      <c r="D19" s="219"/>
      <c r="E19" s="219"/>
      <c r="F19" s="332" t="s">
        <v>178</v>
      </c>
      <c r="G19" s="332"/>
      <c r="H19" s="220">
        <f>D10/SUM(D15,-D9)</f>
        <v>4.0887654300096186E-2</v>
      </c>
      <c r="J19" s="218" t="s">
        <v>41</v>
      </c>
      <c r="K19" s="219"/>
      <c r="L19" s="219"/>
      <c r="M19" s="229" t="s">
        <v>177</v>
      </c>
      <c r="N19" s="220">
        <f>K10/SUM(K15,-K9)</f>
        <v>3.6352536424780701E-2</v>
      </c>
      <c r="Q19" s="263" t="s">
        <v>120</v>
      </c>
      <c r="R19" s="266">
        <f ca="1">U8-U12</f>
        <v>1.9313315120132637</v>
      </c>
      <c r="S19" s="266">
        <f ca="1">U10-U12</f>
        <v>4.1073690350505805</v>
      </c>
      <c r="T19" s="271"/>
      <c r="U19" s="272">
        <f ca="1">E26*D12*(1-E27)*R19*LossCF</f>
        <v>0</v>
      </c>
      <c r="V19" s="273">
        <f ca="1">E26*D12*(E27)*R19*LossCF</f>
        <v>0</v>
      </c>
      <c r="W19" s="274"/>
    </row>
    <row r="20" spans="1:27" s="15" customFormat="1" ht="15.75" customHeight="1" thickBot="1" x14ac:dyDescent="0.3">
      <c r="A20" s="4"/>
      <c r="C20" s="221" t="s">
        <v>174</v>
      </c>
      <c r="D20" s="222"/>
      <c r="E20" s="33"/>
      <c r="F20" s="333">
        <v>0</v>
      </c>
      <c r="G20" s="333"/>
      <c r="H20" s="223">
        <f ca="1">H15/G15</f>
        <v>0.12420633985248748</v>
      </c>
      <c r="J20" s="221" t="s">
        <v>174</v>
      </c>
      <c r="K20" s="222"/>
      <c r="L20" s="33"/>
      <c r="M20" s="227" t="s">
        <v>43</v>
      </c>
      <c r="N20" s="223">
        <f ca="1">N15/M15</f>
        <v>0.16271220688013655</v>
      </c>
      <c r="Q20" s="263" t="s">
        <v>121</v>
      </c>
      <c r="R20" s="279"/>
      <c r="S20" s="280">
        <f ca="1">U10-U13</f>
        <v>4.1073690350505805</v>
      </c>
      <c r="T20" s="281">
        <f>U14-U13</f>
        <v>0</v>
      </c>
      <c r="U20" s="277"/>
      <c r="V20" s="275">
        <f ca="1">E26*D13*E27*S20*LossCF</f>
        <v>0</v>
      </c>
      <c r="W20" s="276">
        <f ca="1">E26*D13*(1-E27)*S20*LossCF</f>
        <v>0</v>
      </c>
    </row>
    <row r="21" spans="1:27" s="15" customFormat="1" ht="15.75" customHeight="1" x14ac:dyDescent="0.25">
      <c r="A21" s="141"/>
      <c r="C21" s="328" t="s">
        <v>175</v>
      </c>
      <c r="D21" s="329"/>
      <c r="E21" s="21"/>
      <c r="F21" s="331" t="str">
        <f ca="1">C3</f>
        <v>5 yr / 24 hour                               </v>
      </c>
      <c r="G21" s="331"/>
      <c r="H21" s="224">
        <f ca="1">H15*7.48052/1000</f>
        <v>2.7884995877445635</v>
      </c>
      <c r="J21" s="328" t="s">
        <v>175</v>
      </c>
      <c r="K21" s="329"/>
      <c r="L21" s="225" t="s">
        <v>43</v>
      </c>
      <c r="M21" s="226" t="s">
        <v>43</v>
      </c>
      <c r="N21" s="224">
        <f ca="1">N15*7.48052/1000</f>
        <v>3.6273563458609677</v>
      </c>
      <c r="O21" s="144"/>
      <c r="Q21" s="278">
        <f>43560/12/1000*7.48052/1000</f>
        <v>2.71542876E-2</v>
      </c>
      <c r="R21" s="282"/>
      <c r="S21" s="283"/>
      <c r="T21" s="283"/>
      <c r="U21" s="21"/>
      <c r="V21" s="21"/>
      <c r="W21" s="288"/>
    </row>
    <row r="22" spans="1:27" s="15" customFormat="1" ht="15.75" customHeight="1" x14ac:dyDescent="0.25">
      <c r="A22" s="141"/>
      <c r="C22" s="318" t="s">
        <v>186</v>
      </c>
      <c r="D22" s="318"/>
      <c r="E22" s="318"/>
      <c r="F22" s="318"/>
      <c r="G22" s="318"/>
      <c r="H22" s="318"/>
      <c r="J22" s="35"/>
      <c r="K22" s="35"/>
      <c r="L22" s="37"/>
      <c r="M22" s="142"/>
      <c r="N22" s="143"/>
      <c r="O22" s="144"/>
    </row>
    <row r="23" spans="1:27" s="15" customFormat="1" ht="15.75" customHeight="1" x14ac:dyDescent="0.25">
      <c r="A23" s="141"/>
      <c r="C23" s="309" t="s">
        <v>185</v>
      </c>
      <c r="D23" s="310"/>
      <c r="E23" s="251">
        <f ca="1">INDIRECT("Summary!j"&amp;(12+A1))</f>
        <v>0.1</v>
      </c>
      <c r="F23" s="321" t="s">
        <v>194</v>
      </c>
      <c r="G23" s="321"/>
      <c r="H23" s="322"/>
      <c r="J23" s="315" t="s">
        <v>183</v>
      </c>
      <c r="K23" s="316"/>
      <c r="L23" s="316"/>
      <c r="M23" s="316"/>
      <c r="N23" s="238">
        <f ca="1">INDIRECT("Summary!M"&amp;(12+A1))</f>
        <v>0.19779635446293886</v>
      </c>
      <c r="O23" s="144"/>
    </row>
    <row r="24" spans="1:27" s="15" customFormat="1" ht="15.75" customHeight="1" x14ac:dyDescent="0.25">
      <c r="A24" s="141"/>
      <c r="C24" s="338"/>
      <c r="D24" s="339"/>
      <c r="E24" s="284">
        <v>0.4</v>
      </c>
      <c r="F24" s="319" t="s">
        <v>46</v>
      </c>
      <c r="G24" s="319"/>
      <c r="H24" s="320"/>
      <c r="J24" s="239" t="s">
        <v>104</v>
      </c>
      <c r="K24" s="317" t="s">
        <v>44</v>
      </c>
      <c r="L24" s="317"/>
      <c r="M24" s="317"/>
      <c r="N24" s="240">
        <f ca="1">(N23/(N18-H18))*(N21-H21)</f>
        <v>0.83885675811640414</v>
      </c>
      <c r="O24" s="144"/>
    </row>
    <row r="25" spans="1:27" s="15" customFormat="1" ht="15.75" customHeight="1" x14ac:dyDescent="0.25">
      <c r="A25" s="141"/>
      <c r="C25" s="311" t="s">
        <v>187</v>
      </c>
      <c r="D25" s="312"/>
      <c r="E25" s="268">
        <f ca="1">SUM(U17:W18)</f>
        <v>0.63581375654491601</v>
      </c>
      <c r="F25" s="295" t="s">
        <v>44</v>
      </c>
      <c r="G25" s="295"/>
      <c r="H25" s="254"/>
      <c r="J25" s="241"/>
      <c r="K25" s="242"/>
      <c r="L25" s="243"/>
      <c r="M25" s="244"/>
      <c r="N25" s="245"/>
      <c r="O25" s="144"/>
    </row>
    <row r="26" spans="1:27" x14ac:dyDescent="0.25">
      <c r="C26" s="338" t="s">
        <v>188</v>
      </c>
      <c r="D26" s="339"/>
      <c r="E26" s="252">
        <f ca="1">INDIRECT("Summary!K"&amp;(12+A1))</f>
        <v>0</v>
      </c>
      <c r="F26" s="319" t="s">
        <v>195</v>
      </c>
      <c r="G26" s="319"/>
      <c r="H26" s="320"/>
    </row>
    <row r="27" spans="1:27" x14ac:dyDescent="0.25">
      <c r="C27" s="338"/>
      <c r="D27" s="339"/>
      <c r="E27" s="284">
        <v>0.4</v>
      </c>
      <c r="F27" s="319" t="s">
        <v>46</v>
      </c>
      <c r="G27" s="319"/>
      <c r="H27" s="320"/>
    </row>
    <row r="28" spans="1:27" x14ac:dyDescent="0.25">
      <c r="C28" s="334" t="s">
        <v>187</v>
      </c>
      <c r="D28" s="335"/>
      <c r="E28" s="285">
        <f ca="1">SUM(U19:W20)</f>
        <v>0</v>
      </c>
      <c r="F28" s="255" t="s">
        <v>44</v>
      </c>
      <c r="G28" s="255"/>
      <c r="H28" s="256"/>
    </row>
    <row r="29" spans="1:27" x14ac:dyDescent="0.25">
      <c r="C29" s="259" t="s">
        <v>190</v>
      </c>
      <c r="D29" s="249"/>
      <c r="E29" s="257">
        <f ca="1">(E23*SUM(D6:D7)+E26*SUM(D12:D13))/SUM(D6:D7,D12:D13)</f>
        <v>0.1</v>
      </c>
      <c r="F29" s="258" t="s">
        <v>189</v>
      </c>
      <c r="G29" s="258"/>
      <c r="H29" s="250"/>
    </row>
    <row r="30" spans="1:27" x14ac:dyDescent="0.25">
      <c r="C30" s="336" t="s">
        <v>187</v>
      </c>
      <c r="D30" s="337"/>
      <c r="E30" s="260">
        <f ca="1">SUM(E25,E28)</f>
        <v>0.63581375654491601</v>
      </c>
      <c r="F30" s="246" t="s">
        <v>44</v>
      </c>
      <c r="G30" s="247"/>
      <c r="H30" s="248"/>
    </row>
  </sheetData>
  <mergeCells count="28">
    <mergeCell ref="C30:D30"/>
    <mergeCell ref="C25:D25"/>
    <mergeCell ref="C26:D26"/>
    <mergeCell ref="F26:H26"/>
    <mergeCell ref="C27:D27"/>
    <mergeCell ref="F27:H27"/>
    <mergeCell ref="C28:D28"/>
    <mergeCell ref="C22:H22"/>
    <mergeCell ref="C23:D23"/>
    <mergeCell ref="F23:H23"/>
    <mergeCell ref="J23:M23"/>
    <mergeCell ref="C24:D24"/>
    <mergeCell ref="F24:H24"/>
    <mergeCell ref="K24:M24"/>
    <mergeCell ref="V4:Y4"/>
    <mergeCell ref="C21:D21"/>
    <mergeCell ref="F21:G21"/>
    <mergeCell ref="J21:K21"/>
    <mergeCell ref="C1:H1"/>
    <mergeCell ref="E2:H2"/>
    <mergeCell ref="E3:H3"/>
    <mergeCell ref="D4:H4"/>
    <mergeCell ref="J4:N4"/>
    <mergeCell ref="C17:H17"/>
    <mergeCell ref="J17:N17"/>
    <mergeCell ref="F18:G18"/>
    <mergeCell ref="F19:G19"/>
    <mergeCell ref="F20:G20"/>
  </mergeCells>
  <dataValidations count="1">
    <dataValidation type="decimal" allowBlank="1" showInputMessage="1" showErrorMessage="1" sqref="N23">
      <formula1>H18</formula1>
      <formula2>N18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Events!$B$3:$B$9</xm:f>
          </x14:formula1>
          <xm:sqref>C4:C5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30"/>
  <sheetViews>
    <sheetView showGridLines="0" workbookViewId="0">
      <pane ySplit="3" topLeftCell="A4" activePane="bottomLeft" state="frozen"/>
      <selection pane="bottomLeft" activeCell="R17" sqref="R17:W20"/>
    </sheetView>
  </sheetViews>
  <sheetFormatPr defaultRowHeight="15" x14ac:dyDescent="0.25"/>
  <cols>
    <col min="1" max="2" width="2" bestFit="1" customWidth="1"/>
    <col min="3" max="3" width="29.140625" bestFit="1" customWidth="1"/>
    <col min="4" max="4" width="10" bestFit="1" customWidth="1"/>
    <col min="5" max="5" width="8.7109375" customWidth="1"/>
    <col min="6" max="6" width="9" customWidth="1"/>
    <col min="7" max="7" width="9.85546875" customWidth="1"/>
    <col min="8" max="8" width="7.140625" bestFit="1" customWidth="1"/>
    <col min="9" max="9" width="4.7109375" customWidth="1"/>
    <col min="10" max="10" width="27.28515625" customWidth="1"/>
    <col min="11" max="11" width="11" customWidth="1"/>
    <col min="12" max="12" width="7.5703125" bestFit="1" customWidth="1"/>
    <col min="13" max="13" width="7.42578125" bestFit="1" customWidth="1"/>
    <col min="14" max="14" width="8.28515625" bestFit="1" customWidth="1"/>
    <col min="15" max="15" width="5.28515625" customWidth="1"/>
    <col min="16" max="16" width="2" bestFit="1" customWidth="1"/>
    <col min="17" max="17" width="27.42578125" bestFit="1" customWidth="1"/>
    <col min="18" max="18" width="6.7109375" bestFit="1" customWidth="1"/>
    <col min="19" max="19" width="7" bestFit="1" customWidth="1"/>
    <col min="20" max="27" width="7" customWidth="1"/>
    <col min="28" max="28" width="6" bestFit="1" customWidth="1"/>
    <col min="29" max="29" width="7" bestFit="1" customWidth="1"/>
    <col min="30" max="30" width="5" bestFit="1" customWidth="1"/>
    <col min="31" max="31" width="6" bestFit="1" customWidth="1"/>
  </cols>
  <sheetData>
    <row r="1" spans="1:31" s="8" customFormat="1" ht="19.5" customHeight="1" x14ac:dyDescent="0.25">
      <c r="A1" s="9">
        <v>7</v>
      </c>
      <c r="C1" s="326" t="str">
        <f>VLOOKUP(A1,LANDCOVER,2)</f>
        <v>WILLIAMS CREEK</v>
      </c>
      <c r="D1" s="326"/>
      <c r="E1" s="326"/>
      <c r="F1" s="326"/>
      <c r="G1" s="326"/>
      <c r="H1" s="326"/>
    </row>
    <row r="2" spans="1:31" s="15" customFormat="1" ht="15.75" x14ac:dyDescent="0.25">
      <c r="A2" s="14"/>
      <c r="C2" s="17" t="s">
        <v>98</v>
      </c>
      <c r="D2" s="18" t="s">
        <v>32</v>
      </c>
      <c r="E2" s="314" t="s">
        <v>26</v>
      </c>
      <c r="F2" s="314"/>
      <c r="G2" s="314"/>
      <c r="H2" s="314"/>
    </row>
    <row r="3" spans="1:31" s="21" customFormat="1" ht="15.75" customHeight="1" x14ac:dyDescent="0.25">
      <c r="A3" s="20"/>
      <c r="C3" s="65" t="str">
        <f ca="1">INDIRECT("Summary!I"&amp;(12+A1))</f>
        <v>5 yr / 24 hour                               </v>
      </c>
      <c r="D3" s="22">
        <f ca="1">VLOOKUP($C$3,Events!$B$3:$D$9,2,FALSE)</f>
        <v>4.38</v>
      </c>
      <c r="E3" s="313" t="str">
        <f ca="1">VLOOKUP($C$3,Events!$B$3:$D$9,3,FALSE)</f>
        <v>Site ID: 31-4782</v>
      </c>
      <c r="F3" s="313"/>
      <c r="G3" s="313"/>
      <c r="H3" s="313"/>
    </row>
    <row r="4" spans="1:31" s="33" customFormat="1" x14ac:dyDescent="0.25">
      <c r="A4" s="32"/>
      <c r="C4" s="34"/>
      <c r="D4" s="327" t="s">
        <v>42</v>
      </c>
      <c r="E4" s="327"/>
      <c r="F4" s="327"/>
      <c r="G4" s="327"/>
      <c r="H4" s="327"/>
      <c r="J4" s="324" t="s">
        <v>45</v>
      </c>
      <c r="K4" s="324"/>
      <c r="L4" s="324"/>
      <c r="M4" s="324"/>
      <c r="N4" s="324"/>
      <c r="Q4" s="190" t="s">
        <v>171</v>
      </c>
      <c r="V4" s="325" t="s">
        <v>173</v>
      </c>
      <c r="W4" s="325"/>
      <c r="X4" s="325"/>
      <c r="Y4" s="325"/>
    </row>
    <row r="5" spans="1:31" s="15" customFormat="1" ht="25.5" x14ac:dyDescent="0.25">
      <c r="A5" s="14"/>
      <c r="C5" s="16"/>
      <c r="D5" s="3" t="s">
        <v>23</v>
      </c>
      <c r="E5" s="3" t="s">
        <v>31</v>
      </c>
      <c r="F5" s="19" t="s">
        <v>29</v>
      </c>
      <c r="G5" s="19" t="s">
        <v>95</v>
      </c>
      <c r="H5" s="19" t="s">
        <v>96</v>
      </c>
      <c r="J5" s="16" t="s">
        <v>23</v>
      </c>
      <c r="K5" s="3" t="s">
        <v>23</v>
      </c>
      <c r="L5" s="3" t="s">
        <v>31</v>
      </c>
      <c r="M5" s="19" t="s">
        <v>30</v>
      </c>
      <c r="N5" s="19" t="s">
        <v>96</v>
      </c>
      <c r="Q5" s="186" t="s">
        <v>165</v>
      </c>
      <c r="R5" s="178" t="s">
        <v>167</v>
      </c>
      <c r="S5" s="184" t="s">
        <v>20</v>
      </c>
      <c r="T5" s="184" t="s">
        <v>168</v>
      </c>
      <c r="U5" s="184" t="s">
        <v>19</v>
      </c>
      <c r="V5" s="209" t="s">
        <v>167</v>
      </c>
      <c r="W5" s="209" t="s">
        <v>20</v>
      </c>
      <c r="X5" s="209" t="s">
        <v>168</v>
      </c>
      <c r="Y5" s="209" t="s">
        <v>19</v>
      </c>
      <c r="Z5" s="184"/>
      <c r="AA5" s="184"/>
      <c r="AB5" s="184" t="s">
        <v>169</v>
      </c>
      <c r="AC5" s="175" t="s">
        <v>170</v>
      </c>
      <c r="AD5" s="184" t="s">
        <v>168</v>
      </c>
      <c r="AE5" s="175" t="s">
        <v>172</v>
      </c>
    </row>
    <row r="6" spans="1:31" s="15" customFormat="1" x14ac:dyDescent="0.2">
      <c r="A6" s="25"/>
      <c r="C6" s="5" t="s">
        <v>118</v>
      </c>
      <c r="D6" s="28">
        <f>VLOOKUP($A$1,LANDCOVER,3)</f>
        <v>272.52550458569277</v>
      </c>
      <c r="E6" s="198">
        <f>D6/$D$15</f>
        <v>0.35560218634488844</v>
      </c>
      <c r="F6" s="191">
        <f t="shared" ref="F6:F14" ca="1" si="0">IF(D6&gt;0,IF($D$3&lt;0.05*S6,0,($D$3-T6)^2/($D$3-A6+S6)),0)</f>
        <v>1.2755938983295192</v>
      </c>
      <c r="G6" s="28">
        <f ca="1">D6*$F6*43560/12/1000</f>
        <v>1261.9036909629197</v>
      </c>
      <c r="H6" s="28">
        <f ca="1">IFERROR(($Y6/$U6-1)*G6,0)</f>
        <v>228.66041288774346</v>
      </c>
      <c r="J6" s="5" t="s">
        <v>118</v>
      </c>
      <c r="K6" s="28">
        <f>VLOOKUP($A$1,LANDCOVERPOT,3)</f>
        <v>357.2655083019589</v>
      </c>
      <c r="L6" s="29">
        <f>K6/$K$15</f>
        <v>0.46617433495237048</v>
      </c>
      <c r="M6" s="28">
        <f ca="1">K6*$F6*43560/12/1000</f>
        <v>1654.2842999790701</v>
      </c>
      <c r="N6" s="28">
        <f ca="1">IFERROR(($Y6/$U6-1)*M6,0)</f>
        <v>299.76085637587778</v>
      </c>
      <c r="P6" s="176">
        <v>1</v>
      </c>
      <c r="Q6" s="192" t="str">
        <f t="shared" ref="Q6:Q14" si="1">C6</f>
        <v>Tree Canopy</v>
      </c>
      <c r="R6" s="193">
        <f t="shared" ref="R6:R14" si="2">VLOOKUP($A$1,CompositeCN,$P6+1)</f>
        <v>68.186280275696561</v>
      </c>
      <c r="S6" s="194">
        <f>IFERROR(1000/R6-10,0)</f>
        <v>4.6657068835066973</v>
      </c>
      <c r="T6" s="194">
        <f>0.2*S6+ModelCi</f>
        <v>0.9831413767013395</v>
      </c>
      <c r="U6" s="194">
        <f t="shared" ref="U6:U14" ca="1" si="3">IF(D6&gt;0,IF($D$3&lt;0.05*S6,0,($D$3-T6)^2/($D$3-A6+S6)),0)</f>
        <v>1.2755938983295192</v>
      </c>
      <c r="V6" s="203">
        <f>R6-CNadj</f>
        <v>70.186280275696561</v>
      </c>
      <c r="W6" s="204">
        <f>IFERROR(1000/V6-10,0)</f>
        <v>4.2477988015881571</v>
      </c>
      <c r="X6" s="204">
        <f t="shared" ref="X6:X7" si="4">0.2*W6</f>
        <v>0.84955976031763147</v>
      </c>
      <c r="Y6" s="205">
        <f ca="1">IF(D6&gt;0,IF($D$3&lt;0.05*W6,0,($D$3-X6)^2/($D$3-E6+W6)),0)</f>
        <v>1.5067350143734415</v>
      </c>
      <c r="Z6" s="202"/>
      <c r="AA6" s="202"/>
      <c r="AB6" s="187">
        <f>0.05*S6</f>
        <v>0.23328534417533486</v>
      </c>
      <c r="AC6" s="188">
        <f>1.33*S6^1.15</f>
        <v>7.818198811404284</v>
      </c>
      <c r="AD6" s="189">
        <f>0.05+ModelCi</f>
        <v>0.1</v>
      </c>
      <c r="AE6" s="188">
        <f>AD6*S6</f>
        <v>0.46657068835066973</v>
      </c>
    </row>
    <row r="7" spans="1:31" s="15" customFormat="1" x14ac:dyDescent="0.2">
      <c r="A7" s="25"/>
      <c r="C7" s="5" t="s">
        <v>119</v>
      </c>
      <c r="D7" s="28">
        <f>VLOOKUP($A$1,LANDCOVER,4)</f>
        <v>2.6724340107992797</v>
      </c>
      <c r="E7" s="198">
        <f>D7/$D$15</f>
        <v>3.4870988627188977E-3</v>
      </c>
      <c r="F7" s="191">
        <f t="shared" ca="1" si="0"/>
        <v>3.7597312948807056</v>
      </c>
      <c r="G7" s="28">
        <f t="shared" ref="G7:G14" ca="1" si="5">D7*$F7*43560/12/1000</f>
        <v>36.472910635577378</v>
      </c>
      <c r="H7" s="28">
        <f ca="1">($Y7/$U7-1)*G7</f>
        <v>3.4027445868070303</v>
      </c>
      <c r="J7" s="5" t="s">
        <v>119</v>
      </c>
      <c r="K7" s="28">
        <f>VLOOKUP($A$1,LANDCOVERPOT,4)</f>
        <v>16.834480985087616</v>
      </c>
      <c r="L7" s="29">
        <f>K7/$K$15</f>
        <v>2.1966304597360192E-2</v>
      </c>
      <c r="M7" s="28">
        <f t="shared" ref="M7:M14" ca="1" si="6">K7*$F7*43560/12/1000</f>
        <v>229.75404372353034</v>
      </c>
      <c r="N7" s="28">
        <f ca="1">($Y7/$U7-1)*M7</f>
        <v>21.434931157226316</v>
      </c>
      <c r="P7" s="176">
        <v>2</v>
      </c>
      <c r="Q7" s="195" t="str">
        <f t="shared" si="1"/>
        <v>Tree Canopy over Impervious</v>
      </c>
      <c r="R7" s="196">
        <f t="shared" si="2"/>
        <v>96</v>
      </c>
      <c r="S7" s="197">
        <f t="shared" ref="S7:S14" si="7">IFERROR(1000/R7-10,0)</f>
        <v>0.41666666666666607</v>
      </c>
      <c r="T7" s="197">
        <f>0.2*S7+ModelCi</f>
        <v>0.13333333333333322</v>
      </c>
      <c r="U7" s="197">
        <f t="shared" ca="1" si="3"/>
        <v>3.7597312948807056</v>
      </c>
      <c r="V7" s="206">
        <f>R7-CNadj</f>
        <v>98</v>
      </c>
      <c r="W7" s="207">
        <f>IFERROR(1000/V7-10,0)</f>
        <v>0.20408163265306101</v>
      </c>
      <c r="X7" s="207">
        <f t="shared" si="4"/>
        <v>4.0816326530612207E-2</v>
      </c>
      <c r="Y7" s="208">
        <f ca="1">IF(D7&gt;0,IF($D$3&lt;0.05*W7,0,($D$3-X7)^2/($D$3-E7+W7)),0)</f>
        <v>4.1104958784734675</v>
      </c>
      <c r="Z7" s="185"/>
      <c r="AA7" s="185"/>
      <c r="AB7" s="187">
        <f t="shared" ref="AB7:AB14" si="8">0.05*S7</f>
        <v>2.0833333333333304E-2</v>
      </c>
      <c r="AC7" s="188">
        <f>1.33*S7^1.15</f>
        <v>0.48596916396643658</v>
      </c>
      <c r="AD7" s="189">
        <f>0.05+ModelCi</f>
        <v>0.1</v>
      </c>
      <c r="AE7" s="188">
        <f t="shared" ref="AE7:AE14" si="9">AD7*S7</f>
        <v>4.1666666666666609E-2</v>
      </c>
    </row>
    <row r="8" spans="1:31" s="15" customFormat="1" x14ac:dyDescent="0.2">
      <c r="A8" s="25"/>
      <c r="C8" s="5" t="s">
        <v>2</v>
      </c>
      <c r="D8" s="28">
        <f>VLOOKUP($A$1,LANDCOVER,5)</f>
        <v>152.8298663246575</v>
      </c>
      <c r="E8" s="198">
        <f>D8/$D$15</f>
        <v>0.1994185266676812</v>
      </c>
      <c r="F8" s="191">
        <f t="shared" ca="1" si="0"/>
        <v>1.3239523283426693</v>
      </c>
      <c r="G8" s="28">
        <f t="shared" ca="1" si="5"/>
        <v>734.49223021981015</v>
      </c>
      <c r="H8" s="199"/>
      <c r="J8" s="5" t="s">
        <v>2</v>
      </c>
      <c r="K8" s="28">
        <f>VLOOKUP($A$1,LANDCOVERPOT,5)</f>
        <v>68.089862608391343</v>
      </c>
      <c r="L8" s="29">
        <f>K8/$K$15</f>
        <v>8.8846378060199294E-2</v>
      </c>
      <c r="M8" s="28">
        <f t="shared" ca="1" si="6"/>
        <v>327.23626765699117</v>
      </c>
      <c r="N8" s="199"/>
      <c r="P8" s="176">
        <v>3</v>
      </c>
      <c r="Q8" s="175" t="str">
        <f t="shared" si="1"/>
        <v>Pervious</v>
      </c>
      <c r="R8" s="177">
        <f t="shared" si="2"/>
        <v>68.350445545763037</v>
      </c>
      <c r="S8" s="185">
        <f t="shared" si="7"/>
        <v>4.6304825376809671</v>
      </c>
      <c r="T8" s="185">
        <f t="shared" ref="T8:T14" si="10">0.2*S8</f>
        <v>0.92609650753619344</v>
      </c>
      <c r="U8" s="185">
        <f t="shared" ca="1" si="3"/>
        <v>1.3239523283426693</v>
      </c>
      <c r="V8" s="185"/>
      <c r="W8" s="185"/>
      <c r="X8" s="185"/>
      <c r="Y8" s="185"/>
      <c r="Z8" s="185"/>
      <c r="AA8" s="185"/>
      <c r="AB8" s="187">
        <f t="shared" si="8"/>
        <v>0.23152412688404836</v>
      </c>
      <c r="AC8" s="188">
        <f t="shared" ref="AC8:AC14" si="11">1.33*S8^1.15</f>
        <v>7.7503591720589915</v>
      </c>
      <c r="AD8" s="184">
        <f>0.05</f>
        <v>0.05</v>
      </c>
      <c r="AE8" s="188">
        <f t="shared" si="9"/>
        <v>0.23152412688404836</v>
      </c>
    </row>
    <row r="9" spans="1:31" s="15" customFormat="1" x14ac:dyDescent="0.2">
      <c r="A9" s="25"/>
      <c r="C9" s="5" t="s">
        <v>12</v>
      </c>
      <c r="D9" s="28">
        <f>VLOOKUP($A$1,LANDCOVER,6)</f>
        <v>45.169941735744423</v>
      </c>
      <c r="E9" s="198">
        <f>D9/$D$15</f>
        <v>5.8939547924958521E-2</v>
      </c>
      <c r="F9" s="191">
        <f t="shared" ca="1" si="0"/>
        <v>4.38</v>
      </c>
      <c r="G9" s="28">
        <f t="shared" ca="1" si="5"/>
        <v>718.17497163329472</v>
      </c>
      <c r="H9" s="200"/>
      <c r="J9" s="5" t="s">
        <v>12</v>
      </c>
      <c r="K9" s="28">
        <f>VLOOKUP($A$1,LANDCOVERPOT,6)</f>
        <v>45.169941735744423</v>
      </c>
      <c r="L9" s="29">
        <f>K9/$K$15</f>
        <v>5.8939547924958535E-2</v>
      </c>
      <c r="M9" s="28">
        <f t="shared" ca="1" si="6"/>
        <v>718.17497163329472</v>
      </c>
      <c r="N9" s="200"/>
      <c r="P9" s="176">
        <v>4</v>
      </c>
      <c r="Q9" s="175" t="str">
        <f t="shared" si="1"/>
        <v>Water</v>
      </c>
      <c r="R9" s="177">
        <f t="shared" si="2"/>
        <v>100</v>
      </c>
      <c r="S9" s="185">
        <f t="shared" si="7"/>
        <v>0</v>
      </c>
      <c r="T9" s="185">
        <f t="shared" si="10"/>
        <v>0</v>
      </c>
      <c r="U9" s="185">
        <f t="shared" ca="1" si="3"/>
        <v>4.38</v>
      </c>
      <c r="V9" s="185"/>
      <c r="W9" s="185"/>
      <c r="X9" s="185"/>
      <c r="Y9" s="185"/>
      <c r="Z9" s="185"/>
      <c r="AA9" s="185"/>
      <c r="AB9" s="187">
        <f t="shared" si="8"/>
        <v>0</v>
      </c>
      <c r="AC9" s="188">
        <f t="shared" si="11"/>
        <v>0</v>
      </c>
      <c r="AD9" s="184"/>
      <c r="AE9" s="188">
        <f t="shared" si="9"/>
        <v>0</v>
      </c>
    </row>
    <row r="10" spans="1:31" s="15" customFormat="1" x14ac:dyDescent="0.2">
      <c r="A10" s="25"/>
      <c r="C10" s="5" t="s">
        <v>4</v>
      </c>
      <c r="D10" s="28">
        <f>VLOOKUP($A$1,LANDCOVER,7)</f>
        <v>236.65929035254683</v>
      </c>
      <c r="E10" s="198">
        <f>D10/$D$15</f>
        <v>0.30880251445138879</v>
      </c>
      <c r="F10" s="191">
        <f t="shared" ca="1" si="0"/>
        <v>4.1073690350505805</v>
      </c>
      <c r="G10" s="28">
        <f t="shared" ca="1" si="5"/>
        <v>3528.5307590154762</v>
      </c>
      <c r="H10" s="200"/>
      <c r="J10" s="5" t="s">
        <v>4</v>
      </c>
      <c r="K10" s="28">
        <f>VLOOKUP($A$1,LANDCOVERPOT,7)</f>
        <v>222.4972433782585</v>
      </c>
      <c r="L10" s="29">
        <f>K10/$K$15</f>
        <v>0.29032330871674761</v>
      </c>
      <c r="M10" s="28">
        <f t="shared" ca="1" si="6"/>
        <v>3317.3781848445778</v>
      </c>
      <c r="N10" s="200"/>
      <c r="P10" s="176">
        <v>5</v>
      </c>
      <c r="Q10" s="175" t="str">
        <f t="shared" si="1"/>
        <v>Impervious</v>
      </c>
      <c r="R10" s="177">
        <f t="shared" si="2"/>
        <v>98</v>
      </c>
      <c r="S10" s="185">
        <f t="shared" si="7"/>
        <v>0.20408163265306101</v>
      </c>
      <c r="T10" s="185">
        <f t="shared" si="10"/>
        <v>4.0816326530612207E-2</v>
      </c>
      <c r="U10" s="185">
        <f t="shared" ca="1" si="3"/>
        <v>4.1073690350505805</v>
      </c>
      <c r="V10" s="185"/>
      <c r="W10" s="185"/>
      <c r="X10" s="185"/>
      <c r="Y10" s="185"/>
      <c r="Z10" s="185"/>
      <c r="AA10" s="185"/>
      <c r="AB10" s="187">
        <f t="shared" si="8"/>
        <v>1.0204081632653052E-2</v>
      </c>
      <c r="AC10" s="188">
        <f t="shared" si="11"/>
        <v>0.2138583190676947</v>
      </c>
      <c r="AD10" s="184">
        <f>0.05</f>
        <v>0.05</v>
      </c>
      <c r="AE10" s="188">
        <f t="shared" si="9"/>
        <v>1.0204081632653052E-2</v>
      </c>
    </row>
    <row r="11" spans="1:31" s="15" customFormat="1" x14ac:dyDescent="0.2">
      <c r="A11" s="25"/>
      <c r="C11" s="5" t="s">
        <v>9</v>
      </c>
      <c r="D11" s="28">
        <f>VLOOKUP($A$1,LANDCOVER,8)</f>
        <v>56.520434925948223</v>
      </c>
      <c r="E11" s="198">
        <f t="shared" ref="E11:E14" si="12">D11/$D$15</f>
        <v>7.3750125748363954E-2</v>
      </c>
      <c r="F11" s="191">
        <f t="shared" ca="1" si="0"/>
        <v>2.9741419682868417</v>
      </c>
      <c r="G11" s="28">
        <f t="shared" ca="1" si="5"/>
        <v>610.2022652120894</v>
      </c>
      <c r="H11" s="200"/>
      <c r="J11" s="5" t="s">
        <v>9</v>
      </c>
      <c r="K11" s="28">
        <f>VLOOKUP($A$1,LANDCOVERPOT,8)</f>
        <v>56.520434925948223</v>
      </c>
      <c r="L11" s="29"/>
      <c r="M11" s="28">
        <f t="shared" ca="1" si="6"/>
        <v>610.2022652120894</v>
      </c>
      <c r="N11" s="200"/>
      <c r="P11" s="176">
        <v>6</v>
      </c>
      <c r="Q11" s="175" t="str">
        <f t="shared" si="1"/>
        <v>Bare Earth</v>
      </c>
      <c r="R11" s="177">
        <f t="shared" si="2"/>
        <v>88.35806335700758</v>
      </c>
      <c r="S11" s="185">
        <f t="shared" si="7"/>
        <v>1.3175862168858998</v>
      </c>
      <c r="T11" s="185">
        <f t="shared" si="10"/>
        <v>0.26351724337717997</v>
      </c>
      <c r="U11" s="185">
        <f t="shared" ca="1" si="3"/>
        <v>2.9741419682868417</v>
      </c>
      <c r="V11" s="185"/>
      <c r="W11" s="185"/>
      <c r="X11" s="185"/>
      <c r="Y11" s="185"/>
      <c r="Z11" s="185"/>
      <c r="AA11" s="185"/>
      <c r="AB11" s="187">
        <f t="shared" si="8"/>
        <v>6.5879310844294992E-2</v>
      </c>
      <c r="AC11" s="188">
        <f t="shared" si="11"/>
        <v>1.8264069054710654</v>
      </c>
      <c r="AD11" s="184">
        <f>0.05</f>
        <v>0.05</v>
      </c>
      <c r="AE11" s="188">
        <f t="shared" si="9"/>
        <v>6.5879310844294992E-2</v>
      </c>
    </row>
    <row r="12" spans="1:31" s="15" customFormat="1" x14ac:dyDescent="0.2">
      <c r="A12" s="25"/>
      <c r="C12" s="5" t="s">
        <v>120</v>
      </c>
      <c r="D12" s="28">
        <f>VLOOKUP($A$1,LANDCOVER,9)</f>
        <v>0</v>
      </c>
      <c r="E12" s="198">
        <f t="shared" si="12"/>
        <v>0</v>
      </c>
      <c r="F12" s="191">
        <f t="shared" si="0"/>
        <v>0</v>
      </c>
      <c r="G12" s="28">
        <f t="shared" si="5"/>
        <v>0</v>
      </c>
      <c r="H12" s="28">
        <f>IFERROR(($Y12/$U12-1)*G12,0)</f>
        <v>0</v>
      </c>
      <c r="J12" s="5" t="s">
        <v>120</v>
      </c>
      <c r="K12" s="28">
        <f>VLOOKUP($A$1,LANDCOVERPOT,9)</f>
        <v>0</v>
      </c>
      <c r="L12" s="29"/>
      <c r="M12" s="28">
        <f t="shared" si="6"/>
        <v>0</v>
      </c>
      <c r="N12" s="28">
        <f>IFERROR(($Y12/$U12-1)*M12,0)</f>
        <v>0</v>
      </c>
      <c r="P12" s="176">
        <v>7</v>
      </c>
      <c r="Q12" s="175" t="str">
        <f t="shared" si="1"/>
        <v>Forested Open Space</v>
      </c>
      <c r="R12" s="177" t="str">
        <f t="shared" si="2"/>
        <v/>
      </c>
      <c r="S12" s="185">
        <f t="shared" si="7"/>
        <v>0</v>
      </c>
      <c r="T12" s="185">
        <f t="shared" si="10"/>
        <v>0</v>
      </c>
      <c r="U12" s="185">
        <f t="shared" si="3"/>
        <v>0</v>
      </c>
      <c r="V12" s="185"/>
      <c r="W12" s="185"/>
      <c r="X12" s="185"/>
      <c r="Y12" s="185"/>
      <c r="Z12" s="185"/>
      <c r="AA12" s="185"/>
      <c r="AB12" s="187">
        <f t="shared" si="8"/>
        <v>0</v>
      </c>
      <c r="AC12" s="188">
        <f t="shared" si="11"/>
        <v>0</v>
      </c>
      <c r="AD12" s="184">
        <f>0.05</f>
        <v>0.05</v>
      </c>
      <c r="AE12" s="188">
        <f t="shared" si="9"/>
        <v>0</v>
      </c>
    </row>
    <row r="13" spans="1:31" s="15" customFormat="1" x14ac:dyDescent="0.2">
      <c r="A13" s="25"/>
      <c r="C13" s="5" t="s">
        <v>121</v>
      </c>
      <c r="D13" s="28">
        <f>VLOOKUP($A$1,LANDCOVER,10)</f>
        <v>0</v>
      </c>
      <c r="E13" s="198">
        <f t="shared" si="12"/>
        <v>0</v>
      </c>
      <c r="F13" s="191">
        <f t="shared" si="0"/>
        <v>0</v>
      </c>
      <c r="G13" s="28">
        <f t="shared" si="5"/>
        <v>0</v>
      </c>
      <c r="H13" s="28">
        <f>IFERROR(($Y13/$U13-1)*G13,0)</f>
        <v>0</v>
      </c>
      <c r="J13" s="5" t="s">
        <v>121</v>
      </c>
      <c r="K13" s="28">
        <f>VLOOKUP($A$1,LANDCOVERPOT,10)</f>
        <v>0</v>
      </c>
      <c r="L13" s="29">
        <f>K13/$K$15</f>
        <v>0</v>
      </c>
      <c r="M13" s="28">
        <f t="shared" si="6"/>
        <v>0</v>
      </c>
      <c r="N13" s="28">
        <f>IFERROR(($Y13/$U13-1)*M13,0)</f>
        <v>0</v>
      </c>
      <c r="P13" s="176">
        <v>8</v>
      </c>
      <c r="Q13" s="175" t="str">
        <f t="shared" si="1"/>
        <v>Forested Wetlands</v>
      </c>
      <c r="R13" s="177" t="str">
        <f t="shared" si="2"/>
        <v/>
      </c>
      <c r="S13" s="185">
        <f t="shared" si="7"/>
        <v>0</v>
      </c>
      <c r="T13" s="185">
        <f t="shared" si="10"/>
        <v>0</v>
      </c>
      <c r="U13" s="185">
        <f t="shared" si="3"/>
        <v>0</v>
      </c>
      <c r="V13" s="185"/>
      <c r="W13" s="185"/>
      <c r="X13" s="185"/>
      <c r="Y13" s="185"/>
      <c r="Z13" s="185"/>
      <c r="AA13" s="185"/>
      <c r="AB13" s="187">
        <f t="shared" si="8"/>
        <v>0</v>
      </c>
      <c r="AC13" s="188">
        <f t="shared" si="11"/>
        <v>0</v>
      </c>
      <c r="AD13" s="184">
        <f>0.05</f>
        <v>0.05</v>
      </c>
      <c r="AE13" s="188">
        <f t="shared" si="9"/>
        <v>0</v>
      </c>
    </row>
    <row r="14" spans="1:31" s="15" customFormat="1" x14ac:dyDescent="0.2">
      <c r="A14" s="25"/>
      <c r="C14" s="5" t="s">
        <v>7</v>
      </c>
      <c r="D14" s="28">
        <f>VLOOKUP($A$1,LANDCOVER,11)</f>
        <v>0</v>
      </c>
      <c r="E14" s="198">
        <f t="shared" si="12"/>
        <v>0</v>
      </c>
      <c r="F14" s="191">
        <f t="shared" si="0"/>
        <v>0</v>
      </c>
      <c r="G14" s="28">
        <f t="shared" si="5"/>
        <v>0</v>
      </c>
      <c r="H14" s="201"/>
      <c r="J14" s="5" t="s">
        <v>7</v>
      </c>
      <c r="K14" s="28">
        <f>VLOOKUP($A$1,LANDCOVERPOT,11)</f>
        <v>0</v>
      </c>
      <c r="L14" s="29">
        <f>K14/$K$15</f>
        <v>0</v>
      </c>
      <c r="M14" s="28">
        <f t="shared" si="6"/>
        <v>0</v>
      </c>
      <c r="N14" s="201"/>
      <c r="P14" s="176">
        <v>9</v>
      </c>
      <c r="Q14" s="175" t="str">
        <f t="shared" si="1"/>
        <v>Wetlands</v>
      </c>
      <c r="R14" s="177" t="str">
        <f t="shared" si="2"/>
        <v/>
      </c>
      <c r="S14" s="185">
        <f t="shared" si="7"/>
        <v>0</v>
      </c>
      <c r="T14" s="185">
        <f t="shared" si="10"/>
        <v>0</v>
      </c>
      <c r="U14" s="185">
        <f t="shared" si="3"/>
        <v>0</v>
      </c>
      <c r="V14" s="185"/>
      <c r="W14" s="185"/>
      <c r="X14" s="185"/>
      <c r="Y14" s="185"/>
      <c r="Z14" s="185"/>
      <c r="AA14" s="185"/>
      <c r="AB14" s="187">
        <f t="shared" si="8"/>
        <v>0</v>
      </c>
      <c r="AC14" s="188">
        <f t="shared" si="11"/>
        <v>0</v>
      </c>
      <c r="AD14" s="184">
        <f>0.05</f>
        <v>0.05</v>
      </c>
      <c r="AE14" s="188">
        <f t="shared" si="9"/>
        <v>0</v>
      </c>
    </row>
    <row r="15" spans="1:31" x14ac:dyDescent="0.25">
      <c r="C15" s="30" t="s">
        <v>38</v>
      </c>
      <c r="D15" s="26">
        <f>SUM(D6:D14)</f>
        <v>766.37747193538917</v>
      </c>
      <c r="E15" s="27"/>
      <c r="F15" s="27"/>
      <c r="G15" s="26">
        <f ca="1">SUM(G6:G14)</f>
        <v>6889.7768276791676</v>
      </c>
      <c r="H15" s="26">
        <f ca="1">SUM(H6:H14)</f>
        <v>232.06315747455048</v>
      </c>
      <c r="J15" s="30" t="s">
        <v>38</v>
      </c>
      <c r="K15" s="26">
        <f>SUM(K6:K14)</f>
        <v>766.37747193538894</v>
      </c>
      <c r="L15" s="26"/>
      <c r="M15" s="26">
        <f ca="1">SUM(M6:M14)</f>
        <v>6857.0300330495529</v>
      </c>
      <c r="N15" s="26">
        <f ca="1">SUM(N6:N14)</f>
        <v>321.19578753310407</v>
      </c>
      <c r="S15" s="183"/>
      <c r="T15" s="183"/>
      <c r="U15" s="183"/>
      <c r="V15" s="183"/>
      <c r="W15" s="183"/>
      <c r="X15" s="183"/>
      <c r="Y15" s="183"/>
      <c r="Z15" s="183"/>
      <c r="AA15" s="183"/>
    </row>
    <row r="16" spans="1:31" ht="16.5" thickBot="1" x14ac:dyDescent="0.3">
      <c r="C16" s="210"/>
      <c r="D16" s="211"/>
      <c r="E16" s="212"/>
      <c r="F16" s="212"/>
      <c r="G16" s="211"/>
      <c r="J16" s="210"/>
      <c r="K16" s="211"/>
      <c r="L16" s="211"/>
      <c r="M16" s="211"/>
      <c r="N16" s="213"/>
      <c r="Q16" s="261" t="s">
        <v>191</v>
      </c>
      <c r="R16" s="261" t="s">
        <v>18</v>
      </c>
      <c r="S16" s="262" t="s">
        <v>17</v>
      </c>
      <c r="T16" s="262" t="s">
        <v>21</v>
      </c>
      <c r="U16" s="261" t="s">
        <v>18</v>
      </c>
      <c r="V16" s="262" t="s">
        <v>17</v>
      </c>
      <c r="W16" s="262" t="s">
        <v>21</v>
      </c>
      <c r="X16" s="183"/>
      <c r="Y16" s="183"/>
      <c r="Z16" s="183"/>
      <c r="AA16" s="183"/>
    </row>
    <row r="17" spans="1:27" ht="15.75" customHeight="1" x14ac:dyDescent="0.25">
      <c r="C17" s="323" t="s">
        <v>176</v>
      </c>
      <c r="D17" s="323"/>
      <c r="E17" s="323"/>
      <c r="F17" s="323"/>
      <c r="G17" s="323"/>
      <c r="H17" s="323"/>
      <c r="J17" s="323" t="s">
        <v>176</v>
      </c>
      <c r="K17" s="323"/>
      <c r="L17" s="323"/>
      <c r="M17" s="323"/>
      <c r="N17" s="323"/>
      <c r="Q17" s="263" t="s">
        <v>118</v>
      </c>
      <c r="R17" s="264">
        <f ca="1">MAX(0,U8-U6)</f>
        <v>4.83584300131501E-2</v>
      </c>
      <c r="S17" s="265">
        <f ca="1">U10-U6</f>
        <v>2.8317751367210615</v>
      </c>
      <c r="T17" s="269"/>
      <c r="U17" s="272">
        <f ca="1">(E23*D6)*(1-E24)*R17*LossCF</f>
        <v>2.1471827477681567E-2</v>
      </c>
      <c r="V17" s="273">
        <f ca="1">(E23*D6)*(E24)*S17*LossCF</f>
        <v>0.83823216448133253</v>
      </c>
      <c r="W17" s="274"/>
      <c r="X17" s="183"/>
      <c r="Y17" s="183"/>
      <c r="Z17" s="183"/>
      <c r="AA17" s="183"/>
    </row>
    <row r="18" spans="1:27" ht="15" customHeight="1" thickBot="1" x14ac:dyDescent="0.3">
      <c r="C18" s="215" t="s">
        <v>40</v>
      </c>
      <c r="D18" s="216"/>
      <c r="E18" s="230"/>
      <c r="F18" s="330" t="s">
        <v>178</v>
      </c>
      <c r="G18" s="330"/>
      <c r="H18" s="217">
        <f>SUM(D6:D7,D12:D13)/SUM(D15,-D9)</f>
        <v>0.38157940270023488</v>
      </c>
      <c r="J18" s="215" t="s">
        <v>40</v>
      </c>
      <c r="K18" s="216"/>
      <c r="L18" s="216"/>
      <c r="M18" s="228" t="s">
        <v>43</v>
      </c>
      <c r="N18" s="217">
        <f>SUM(K6:K7,K12:K13)/SUM(K15,-K9)</f>
        <v>0.51871337114781402</v>
      </c>
      <c r="Q18" s="263" t="s">
        <v>119</v>
      </c>
      <c r="R18" s="267"/>
      <c r="S18" s="264">
        <f ca="1">U10-U7</f>
        <v>0.34763774016987492</v>
      </c>
      <c r="T18" s="270"/>
      <c r="U18" s="286"/>
      <c r="V18" s="275">
        <f ca="1">E23*D7*LossCF</f>
        <v>7.2568041721265157E-3</v>
      </c>
      <c r="W18" s="287"/>
    </row>
    <row r="19" spans="1:27" s="15" customFormat="1" ht="15.75" customHeight="1" x14ac:dyDescent="0.25">
      <c r="A19" s="4"/>
      <c r="C19" s="218" t="s">
        <v>41</v>
      </c>
      <c r="D19" s="219"/>
      <c r="E19" s="219"/>
      <c r="F19" s="332" t="s">
        <v>178</v>
      </c>
      <c r="G19" s="332"/>
      <c r="H19" s="220">
        <f>D10/SUM(D15,-D9)</f>
        <v>0.32814312169901327</v>
      </c>
      <c r="J19" s="218" t="s">
        <v>41</v>
      </c>
      <c r="K19" s="219"/>
      <c r="L19" s="219"/>
      <c r="M19" s="229" t="s">
        <v>177</v>
      </c>
      <c r="N19" s="220">
        <f>K10/SUM(K15,-K9)</f>
        <v>0.30850654501162356</v>
      </c>
      <c r="Q19" s="263" t="s">
        <v>120</v>
      </c>
      <c r="R19" s="266">
        <f ca="1">U8-U12</f>
        <v>1.3239523283426693</v>
      </c>
      <c r="S19" s="266">
        <f ca="1">U10-U12</f>
        <v>4.1073690350505805</v>
      </c>
      <c r="T19" s="271"/>
      <c r="U19" s="272">
        <f ca="1">E26*D12*(1-E27)*R19*LossCF</f>
        <v>0</v>
      </c>
      <c r="V19" s="273">
        <f ca="1">E26*D12*(E27)*R19*LossCF</f>
        <v>0</v>
      </c>
      <c r="W19" s="274"/>
    </row>
    <row r="20" spans="1:27" s="15" customFormat="1" ht="15.75" customHeight="1" thickBot="1" x14ac:dyDescent="0.3">
      <c r="A20" s="4"/>
      <c r="C20" s="221" t="s">
        <v>174</v>
      </c>
      <c r="D20" s="222"/>
      <c r="E20" s="33"/>
      <c r="F20" s="333">
        <v>0</v>
      </c>
      <c r="G20" s="333"/>
      <c r="H20" s="223">
        <f ca="1">H15/G15</f>
        <v>3.3682245924462159E-2</v>
      </c>
      <c r="J20" s="221" t="s">
        <v>174</v>
      </c>
      <c r="K20" s="222"/>
      <c r="L20" s="33"/>
      <c r="M20" s="227" t="s">
        <v>43</v>
      </c>
      <c r="N20" s="223">
        <f ca="1">N15/M15</f>
        <v>4.6841823061150784E-2</v>
      </c>
      <c r="Q20" s="263" t="s">
        <v>121</v>
      </c>
      <c r="R20" s="279"/>
      <c r="S20" s="280">
        <f ca="1">U10-U13</f>
        <v>4.1073690350505805</v>
      </c>
      <c r="T20" s="281">
        <f>U14-U13</f>
        <v>0</v>
      </c>
      <c r="U20" s="277"/>
      <c r="V20" s="275">
        <f ca="1">E26*D13*E27*S20*LossCF</f>
        <v>0</v>
      </c>
      <c r="W20" s="276">
        <f ca="1">E26*D13*(1-E27)*S20*LossCF</f>
        <v>0</v>
      </c>
    </row>
    <row r="21" spans="1:27" s="15" customFormat="1" ht="15.75" customHeight="1" x14ac:dyDescent="0.25">
      <c r="A21" s="141"/>
      <c r="C21" s="328" t="s">
        <v>175</v>
      </c>
      <c r="D21" s="329"/>
      <c r="E21" s="21"/>
      <c r="F21" s="331" t="str">
        <f ca="1">C3</f>
        <v>5 yr / 24 hour                               </v>
      </c>
      <c r="G21" s="331"/>
      <c r="H21" s="224">
        <f ca="1">H15*7.48052/1000</f>
        <v>1.7359530907515244</v>
      </c>
      <c r="J21" s="328" t="s">
        <v>175</v>
      </c>
      <c r="K21" s="329"/>
      <c r="L21" s="225" t="s">
        <v>43</v>
      </c>
      <c r="M21" s="226" t="s">
        <v>43</v>
      </c>
      <c r="N21" s="224">
        <f ca="1">N15*7.48052/1000</f>
        <v>2.4027115125571359</v>
      </c>
      <c r="O21" s="144"/>
      <c r="Q21" s="278">
        <f>43560/12/1000*7.48052/1000</f>
        <v>2.71542876E-2</v>
      </c>
      <c r="R21" s="282"/>
      <c r="S21" s="283"/>
      <c r="T21" s="283"/>
      <c r="U21" s="21"/>
      <c r="V21" s="21"/>
      <c r="W21" s="288"/>
    </row>
    <row r="22" spans="1:27" s="15" customFormat="1" ht="15.75" customHeight="1" x14ac:dyDescent="0.25">
      <c r="A22" s="141"/>
      <c r="C22" s="318" t="s">
        <v>186</v>
      </c>
      <c r="D22" s="318"/>
      <c r="E22" s="318"/>
      <c r="F22" s="318"/>
      <c r="G22" s="318"/>
      <c r="H22" s="318"/>
      <c r="J22" s="35"/>
      <c r="K22" s="35"/>
      <c r="L22" s="37"/>
      <c r="M22" s="142"/>
      <c r="N22" s="143"/>
      <c r="O22" s="144"/>
    </row>
    <row r="23" spans="1:27" s="15" customFormat="1" ht="15.75" customHeight="1" x14ac:dyDescent="0.25">
      <c r="A23" s="141"/>
      <c r="C23" s="309" t="s">
        <v>185</v>
      </c>
      <c r="D23" s="310"/>
      <c r="E23" s="251">
        <f ca="1">INDIRECT("Summary!j"&amp;(12+A1))</f>
        <v>0.1</v>
      </c>
      <c r="F23" s="321" t="s">
        <v>194</v>
      </c>
      <c r="G23" s="321"/>
      <c r="H23" s="322"/>
      <c r="J23" s="315" t="s">
        <v>183</v>
      </c>
      <c r="K23" s="316"/>
      <c r="L23" s="316"/>
      <c r="M23" s="316"/>
      <c r="N23" s="238">
        <f ca="1">INDIRECT("Summary!M"&amp;(12+A1))</f>
        <v>0.13713396844757914</v>
      </c>
      <c r="O23" s="144"/>
    </row>
    <row r="24" spans="1:27" s="15" customFormat="1" ht="15.75" customHeight="1" x14ac:dyDescent="0.25">
      <c r="A24" s="141"/>
      <c r="C24" s="338"/>
      <c r="D24" s="339"/>
      <c r="E24" s="284">
        <v>0.4</v>
      </c>
      <c r="F24" s="319" t="s">
        <v>46</v>
      </c>
      <c r="G24" s="319"/>
      <c r="H24" s="320"/>
      <c r="J24" s="239" t="s">
        <v>104</v>
      </c>
      <c r="K24" s="317" t="s">
        <v>44</v>
      </c>
      <c r="L24" s="317"/>
      <c r="M24" s="317"/>
      <c r="N24" s="240">
        <f ca="1">(N23/(N18-H18))*(N21-H21)</f>
        <v>0.66675842180561151</v>
      </c>
      <c r="O24" s="144"/>
    </row>
    <row r="25" spans="1:27" s="15" customFormat="1" ht="15.75" customHeight="1" x14ac:dyDescent="0.25">
      <c r="A25" s="141"/>
      <c r="C25" s="311" t="s">
        <v>187</v>
      </c>
      <c r="D25" s="312"/>
      <c r="E25" s="268">
        <f ca="1">SUM(U17:W18)</f>
        <v>0.86696079613114063</v>
      </c>
      <c r="F25" s="295" t="s">
        <v>44</v>
      </c>
      <c r="G25" s="295"/>
      <c r="H25" s="254"/>
      <c r="J25" s="241"/>
      <c r="K25" s="242"/>
      <c r="L25" s="243"/>
      <c r="M25" s="244"/>
      <c r="N25" s="245"/>
      <c r="O25" s="144"/>
    </row>
    <row r="26" spans="1:27" x14ac:dyDescent="0.25">
      <c r="C26" s="338" t="s">
        <v>188</v>
      </c>
      <c r="D26" s="339"/>
      <c r="E26" s="252">
        <f ca="1">INDIRECT("Summary!K"&amp;(12+A1))</f>
        <v>0</v>
      </c>
      <c r="F26" s="319" t="s">
        <v>195</v>
      </c>
      <c r="G26" s="319"/>
      <c r="H26" s="320"/>
    </row>
    <row r="27" spans="1:27" x14ac:dyDescent="0.25">
      <c r="C27" s="338"/>
      <c r="D27" s="339"/>
      <c r="E27" s="284">
        <v>0.4</v>
      </c>
      <c r="F27" s="319" t="s">
        <v>46</v>
      </c>
      <c r="G27" s="319"/>
      <c r="H27" s="320"/>
    </row>
    <row r="28" spans="1:27" x14ac:dyDescent="0.25">
      <c r="C28" s="334" t="s">
        <v>187</v>
      </c>
      <c r="D28" s="335"/>
      <c r="E28" s="285">
        <f ca="1">SUM(U19:W20)</f>
        <v>0</v>
      </c>
      <c r="F28" s="255" t="s">
        <v>44</v>
      </c>
      <c r="G28" s="255"/>
      <c r="H28" s="256"/>
    </row>
    <row r="29" spans="1:27" x14ac:dyDescent="0.25">
      <c r="C29" s="259" t="s">
        <v>190</v>
      </c>
      <c r="D29" s="249"/>
      <c r="E29" s="257">
        <f ca="1">(E23*SUM(D6:D7)+E26*SUM(D12:D13))/SUM(D6:D7,D12:D13)</f>
        <v>0.1</v>
      </c>
      <c r="F29" s="258" t="s">
        <v>189</v>
      </c>
      <c r="G29" s="258"/>
      <c r="H29" s="250"/>
    </row>
    <row r="30" spans="1:27" x14ac:dyDescent="0.25">
      <c r="C30" s="336" t="s">
        <v>187</v>
      </c>
      <c r="D30" s="337"/>
      <c r="E30" s="260">
        <f ca="1">SUM(E25,E28)</f>
        <v>0.86696079613114063</v>
      </c>
      <c r="F30" s="246" t="s">
        <v>44</v>
      </c>
      <c r="G30" s="247"/>
      <c r="H30" s="248"/>
    </row>
  </sheetData>
  <mergeCells count="28">
    <mergeCell ref="C30:D30"/>
    <mergeCell ref="C25:D25"/>
    <mergeCell ref="C26:D26"/>
    <mergeCell ref="F26:H26"/>
    <mergeCell ref="C27:D27"/>
    <mergeCell ref="F27:H27"/>
    <mergeCell ref="C28:D28"/>
    <mergeCell ref="C22:H22"/>
    <mergeCell ref="C23:D23"/>
    <mergeCell ref="F23:H23"/>
    <mergeCell ref="J23:M23"/>
    <mergeCell ref="C24:D24"/>
    <mergeCell ref="F24:H24"/>
    <mergeCell ref="K24:M24"/>
    <mergeCell ref="V4:Y4"/>
    <mergeCell ref="C21:D21"/>
    <mergeCell ref="F21:G21"/>
    <mergeCell ref="J21:K21"/>
    <mergeCell ref="C1:H1"/>
    <mergeCell ref="E2:H2"/>
    <mergeCell ref="E3:H3"/>
    <mergeCell ref="D4:H4"/>
    <mergeCell ref="J4:N4"/>
    <mergeCell ref="C17:H17"/>
    <mergeCell ref="J17:N17"/>
    <mergeCell ref="F18:G18"/>
    <mergeCell ref="F19:G19"/>
    <mergeCell ref="F20:G20"/>
  </mergeCells>
  <dataValidations count="1">
    <dataValidation type="decimal" allowBlank="1" showInputMessage="1" showErrorMessage="1" sqref="N23">
      <formula1>H18</formula1>
      <formula2>N18</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Events!$B$3:$B$9</xm:f>
          </x14:formula1>
          <xm:sqref>C4:C5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workbookViewId="0">
      <pane ySplit="1" topLeftCell="A8" activePane="bottomLeft" state="frozen"/>
      <selection pane="bottomLeft" activeCell="G27" sqref="G27"/>
    </sheetView>
  </sheetViews>
  <sheetFormatPr defaultRowHeight="15" x14ac:dyDescent="0.25"/>
  <cols>
    <col min="1" max="1" width="4.7109375" customWidth="1"/>
    <col min="3" max="3" width="7.28515625" customWidth="1"/>
    <col min="5" max="5" width="8.42578125" customWidth="1"/>
    <col min="6" max="6" width="3.42578125" customWidth="1"/>
  </cols>
  <sheetData>
    <row r="1" spans="1:13" s="8" customFormat="1" ht="19.5" customHeight="1" x14ac:dyDescent="0.25">
      <c r="A1" s="42" t="s">
        <v>64</v>
      </c>
      <c r="B1" s="42"/>
      <c r="C1" s="24"/>
      <c r="D1" s="24"/>
      <c r="E1" s="24"/>
      <c r="F1" s="24"/>
      <c r="G1" s="24"/>
      <c r="H1" s="24"/>
      <c r="I1" s="24"/>
      <c r="J1" s="24"/>
      <c r="K1" s="24"/>
    </row>
    <row r="2" spans="1:13" ht="15" customHeight="1" x14ac:dyDescent="0.25">
      <c r="B2" s="342" t="s">
        <v>52</v>
      </c>
      <c r="C2" s="342"/>
      <c r="D2" s="342"/>
      <c r="E2" s="342"/>
      <c r="F2" s="342"/>
      <c r="G2" s="342"/>
      <c r="H2" s="342"/>
      <c r="I2" s="342"/>
      <c r="J2" s="342"/>
      <c r="K2" s="342"/>
      <c r="L2" s="342"/>
      <c r="M2" s="342"/>
    </row>
    <row r="3" spans="1:13" x14ac:dyDescent="0.25">
      <c r="B3" s="342"/>
      <c r="C3" s="342"/>
      <c r="D3" s="342"/>
      <c r="E3" s="342"/>
      <c r="F3" s="342"/>
      <c r="G3" s="342"/>
      <c r="H3" s="342"/>
      <c r="I3" s="342"/>
      <c r="J3" s="342"/>
      <c r="K3" s="342"/>
      <c r="L3" s="342"/>
      <c r="M3" s="342"/>
    </row>
    <row r="4" spans="1:13" ht="10.5" customHeight="1" x14ac:dyDescent="0.25">
      <c r="B4" s="53"/>
      <c r="C4" s="53"/>
      <c r="D4" s="53"/>
      <c r="E4" s="53"/>
      <c r="F4" s="53"/>
      <c r="G4" s="53"/>
      <c r="H4" s="53"/>
      <c r="I4" s="53"/>
      <c r="J4" s="53"/>
      <c r="K4" s="53"/>
    </row>
    <row r="5" spans="1:13" x14ac:dyDescent="0.25">
      <c r="B5" s="343" t="s">
        <v>55</v>
      </c>
      <c r="C5" s="343"/>
      <c r="D5" s="343"/>
      <c r="E5" s="343"/>
      <c r="F5" s="343"/>
      <c r="G5" s="343"/>
      <c r="H5" s="343"/>
      <c r="I5" s="343"/>
      <c r="J5" s="52"/>
    </row>
    <row r="6" spans="1:13" ht="15" customHeight="1" x14ac:dyDescent="0.25">
      <c r="B6" s="342" t="s">
        <v>101</v>
      </c>
      <c r="C6" s="342"/>
      <c r="D6" s="342"/>
      <c r="E6" s="342"/>
      <c r="F6" s="342"/>
      <c r="G6" s="342"/>
      <c r="H6" s="342"/>
      <c r="I6" s="342"/>
      <c r="J6" s="342"/>
      <c r="K6" s="342"/>
      <c r="L6" s="342"/>
      <c r="M6" s="342"/>
    </row>
    <row r="7" spans="1:13" x14ac:dyDescent="0.25">
      <c r="B7" s="342"/>
      <c r="C7" s="342"/>
      <c r="D7" s="342"/>
      <c r="E7" s="342"/>
      <c r="F7" s="342"/>
      <c r="G7" s="342"/>
      <c r="H7" s="342"/>
      <c r="I7" s="342"/>
      <c r="J7" s="342"/>
      <c r="K7" s="342"/>
      <c r="L7" s="342"/>
      <c r="M7" s="342"/>
    </row>
    <row r="8" spans="1:13" x14ac:dyDescent="0.25">
      <c r="B8" s="342"/>
      <c r="C8" s="342"/>
      <c r="D8" s="342"/>
      <c r="E8" s="342"/>
      <c r="F8" s="342"/>
      <c r="G8" s="342"/>
      <c r="H8" s="342"/>
      <c r="I8" s="342"/>
      <c r="J8" s="342"/>
      <c r="K8" s="342"/>
      <c r="L8" s="342"/>
      <c r="M8" s="342"/>
    </row>
    <row r="9" spans="1:13" ht="6.75" customHeight="1" x14ac:dyDescent="0.25">
      <c r="B9" s="52"/>
      <c r="C9" s="52"/>
      <c r="D9" s="52"/>
      <c r="E9" s="52"/>
      <c r="F9" s="52"/>
      <c r="G9" s="52"/>
      <c r="H9" s="52"/>
      <c r="I9" s="52"/>
      <c r="J9" s="52"/>
      <c r="K9" s="52"/>
    </row>
    <row r="10" spans="1:13" x14ac:dyDescent="0.25">
      <c r="B10" s="55" t="s">
        <v>53</v>
      </c>
      <c r="F10" s="345" t="s">
        <v>133</v>
      </c>
      <c r="G10" s="345"/>
      <c r="H10" s="345"/>
      <c r="I10" s="345"/>
      <c r="J10" s="345"/>
      <c r="K10" s="345"/>
      <c r="L10" s="345"/>
      <c r="M10" s="345"/>
    </row>
    <row r="11" spans="1:13" x14ac:dyDescent="0.25">
      <c r="B11" s="36">
        <v>1</v>
      </c>
      <c r="C11" s="140" t="s">
        <v>24</v>
      </c>
      <c r="D11" s="140"/>
      <c r="E11" s="140"/>
      <c r="F11" s="345"/>
      <c r="G11" s="345"/>
      <c r="H11" s="345"/>
      <c r="I11" s="345"/>
      <c r="J11" s="345"/>
      <c r="K11" s="345"/>
      <c r="L11" s="345"/>
      <c r="M11" s="345"/>
    </row>
    <row r="12" spans="1:13" x14ac:dyDescent="0.25">
      <c r="B12" s="36">
        <v>2</v>
      </c>
      <c r="C12" s="140" t="s">
        <v>8</v>
      </c>
      <c r="D12" s="140"/>
      <c r="E12" s="140"/>
      <c r="F12" s="345"/>
      <c r="G12" s="345"/>
      <c r="H12" s="345"/>
      <c r="I12" s="345"/>
      <c r="J12" s="345"/>
      <c r="K12" s="345"/>
      <c r="L12" s="345"/>
      <c r="M12" s="345"/>
    </row>
    <row r="13" spans="1:13" x14ac:dyDescent="0.25">
      <c r="B13" s="36">
        <v>3</v>
      </c>
      <c r="C13" s="140" t="s">
        <v>2</v>
      </c>
      <c r="D13" s="140"/>
      <c r="E13" s="140"/>
      <c r="F13" s="345"/>
      <c r="G13" s="345"/>
      <c r="H13" s="345"/>
      <c r="I13" s="345"/>
      <c r="J13" s="345"/>
      <c r="K13" s="345"/>
      <c r="L13" s="345"/>
      <c r="M13" s="345"/>
    </row>
    <row r="14" spans="1:13" x14ac:dyDescent="0.25">
      <c r="B14" s="36">
        <v>4</v>
      </c>
      <c r="C14" s="140" t="s">
        <v>12</v>
      </c>
      <c r="D14" s="140"/>
      <c r="E14" s="140"/>
      <c r="F14" s="345"/>
      <c r="G14" s="345"/>
      <c r="H14" s="345"/>
      <c r="I14" s="345"/>
      <c r="J14" s="345"/>
      <c r="K14" s="345"/>
      <c r="L14" s="345"/>
      <c r="M14" s="345"/>
    </row>
    <row r="15" spans="1:13" x14ac:dyDescent="0.25">
      <c r="B15" s="36">
        <v>5</v>
      </c>
      <c r="C15" s="140" t="s">
        <v>4</v>
      </c>
      <c r="D15" s="140"/>
      <c r="E15" s="140"/>
      <c r="F15" s="345"/>
      <c r="G15" s="345"/>
      <c r="H15" s="345"/>
      <c r="I15" s="345"/>
      <c r="J15" s="345"/>
      <c r="K15" s="345"/>
      <c r="L15" s="345"/>
      <c r="M15" s="345"/>
    </row>
    <row r="16" spans="1:13" x14ac:dyDescent="0.25">
      <c r="B16" s="36">
        <v>6</v>
      </c>
      <c r="C16" s="140" t="s">
        <v>9</v>
      </c>
      <c r="D16" s="140"/>
      <c r="E16" s="140"/>
      <c r="F16" s="345"/>
      <c r="G16" s="345"/>
      <c r="H16" s="345"/>
      <c r="I16" s="345"/>
      <c r="J16" s="345"/>
      <c r="K16" s="345"/>
      <c r="L16" s="345"/>
      <c r="M16" s="345"/>
    </row>
    <row r="17" spans="2:22" x14ac:dyDescent="0.25">
      <c r="B17" s="36">
        <v>7</v>
      </c>
      <c r="C17" s="140" t="s">
        <v>10</v>
      </c>
      <c r="D17" s="140"/>
      <c r="E17" s="140"/>
      <c r="F17" s="345" t="s">
        <v>106</v>
      </c>
      <c r="G17" s="345"/>
      <c r="H17" s="345"/>
      <c r="I17" s="345"/>
      <c r="J17" s="345"/>
      <c r="K17" s="345"/>
      <c r="L17" s="345"/>
      <c r="M17" s="345"/>
    </row>
    <row r="18" spans="2:22" x14ac:dyDescent="0.25">
      <c r="B18" s="36">
        <v>8</v>
      </c>
      <c r="C18" s="140" t="s">
        <v>5</v>
      </c>
      <c r="D18" s="140"/>
      <c r="E18" s="140"/>
      <c r="F18" s="345" t="s">
        <v>106</v>
      </c>
      <c r="G18" s="345"/>
      <c r="H18" s="345"/>
      <c r="I18" s="345"/>
      <c r="J18" s="345"/>
      <c r="K18" s="345"/>
      <c r="L18" s="345"/>
      <c r="M18" s="345"/>
    </row>
    <row r="19" spans="2:22" x14ac:dyDescent="0.25">
      <c r="B19" s="36">
        <v>9</v>
      </c>
      <c r="C19" s="140" t="s">
        <v>7</v>
      </c>
      <c r="D19" s="140"/>
      <c r="E19" s="140"/>
      <c r="F19" s="345" t="s">
        <v>106</v>
      </c>
      <c r="G19" s="345"/>
      <c r="H19" s="345"/>
      <c r="I19" s="345"/>
      <c r="J19" s="345"/>
      <c r="K19" s="345"/>
      <c r="L19" s="345"/>
      <c r="M19" s="345"/>
    </row>
    <row r="20" spans="2:22" ht="9" customHeight="1" x14ac:dyDescent="0.25">
      <c r="B20" s="36"/>
      <c r="C20" s="54"/>
    </row>
    <row r="21" spans="2:22" x14ac:dyDescent="0.25">
      <c r="B21" s="40" t="s">
        <v>54</v>
      </c>
    </row>
    <row r="22" spans="2:22" ht="15" customHeight="1" x14ac:dyDescent="0.25">
      <c r="B22" s="341" t="s">
        <v>57</v>
      </c>
      <c r="C22" s="341"/>
      <c r="D22" s="341"/>
      <c r="E22" s="341"/>
      <c r="F22" s="341"/>
      <c r="G22" s="341"/>
      <c r="H22" s="341"/>
      <c r="I22" s="341"/>
      <c r="J22" s="341"/>
      <c r="K22" s="341"/>
      <c r="L22" s="341"/>
      <c r="M22" s="341"/>
    </row>
    <row r="23" spans="2:22" x14ac:dyDescent="0.25">
      <c r="B23" s="341"/>
      <c r="C23" s="341"/>
      <c r="D23" s="341"/>
      <c r="E23" s="341"/>
      <c r="F23" s="341"/>
      <c r="G23" s="341"/>
      <c r="H23" s="341"/>
      <c r="I23" s="341"/>
      <c r="J23" s="341"/>
      <c r="K23" s="341"/>
      <c r="L23" s="341"/>
      <c r="M23" s="341"/>
    </row>
    <row r="24" spans="2:22" x14ac:dyDescent="0.25">
      <c r="B24" s="341"/>
      <c r="C24" s="341"/>
      <c r="D24" s="341"/>
      <c r="E24" s="341"/>
      <c r="F24" s="341"/>
      <c r="G24" s="341"/>
      <c r="H24" s="341"/>
      <c r="I24" s="341"/>
      <c r="J24" s="341"/>
      <c r="K24" s="341"/>
      <c r="L24" s="341"/>
      <c r="M24" s="341"/>
    </row>
    <row r="25" spans="2:22" x14ac:dyDescent="0.25">
      <c r="G25" s="340" t="s">
        <v>56</v>
      </c>
      <c r="H25" s="340"/>
      <c r="I25" s="340"/>
      <c r="J25" s="340"/>
      <c r="K25" s="340"/>
      <c r="L25" s="340"/>
      <c r="M25" s="340"/>
    </row>
    <row r="26" spans="2:22" x14ac:dyDescent="0.25">
      <c r="G26" s="13" t="s">
        <v>3</v>
      </c>
      <c r="H26" s="104" t="s">
        <v>6</v>
      </c>
      <c r="I26" s="104" t="s">
        <v>15</v>
      </c>
      <c r="J26" s="104" t="s">
        <v>11</v>
      </c>
      <c r="K26" s="104" t="s">
        <v>16</v>
      </c>
      <c r="L26" s="13" t="s">
        <v>14</v>
      </c>
      <c r="M26" s="13" t="s">
        <v>13</v>
      </c>
      <c r="P26" s="134"/>
      <c r="Q26" s="134"/>
      <c r="R26" s="134"/>
      <c r="S26" s="134"/>
      <c r="T26" s="134"/>
      <c r="U26" s="134"/>
      <c r="V26" s="47"/>
    </row>
    <row r="27" spans="2:22" x14ac:dyDescent="0.25">
      <c r="C27" s="36">
        <v>1</v>
      </c>
      <c r="D27" s="140" t="s">
        <v>24</v>
      </c>
      <c r="E27" s="140"/>
      <c r="F27" s="140"/>
      <c r="G27" s="149">
        <f t="shared" ref="G27:M27" si="0">G29+CNadj</f>
        <v>37</v>
      </c>
      <c r="H27" s="149">
        <f t="shared" si="0"/>
        <v>78</v>
      </c>
      <c r="I27" s="149">
        <f t="shared" si="0"/>
        <v>59</v>
      </c>
      <c r="J27" s="149">
        <f t="shared" si="0"/>
        <v>78</v>
      </c>
      <c r="K27" s="149">
        <f t="shared" si="0"/>
        <v>72</v>
      </c>
      <c r="L27" s="149">
        <f t="shared" si="0"/>
        <v>78</v>
      </c>
      <c r="M27" s="149">
        <f t="shared" si="0"/>
        <v>78</v>
      </c>
      <c r="P27" s="135"/>
      <c r="Q27" s="135"/>
      <c r="R27" s="135"/>
      <c r="S27" s="135"/>
      <c r="T27" s="135"/>
      <c r="U27" s="135"/>
      <c r="V27" s="47"/>
    </row>
    <row r="28" spans="2:22" x14ac:dyDescent="0.25">
      <c r="C28" s="36">
        <v>2</v>
      </c>
      <c r="D28" s="140" t="s">
        <v>8</v>
      </c>
      <c r="E28" s="140"/>
      <c r="F28" s="140"/>
      <c r="G28" s="149">
        <f t="shared" ref="G28:M28" si="1">G31+CNadj</f>
        <v>96</v>
      </c>
      <c r="H28" s="149">
        <f t="shared" si="1"/>
        <v>96</v>
      </c>
      <c r="I28" s="149">
        <f t="shared" si="1"/>
        <v>96</v>
      </c>
      <c r="J28" s="149">
        <f t="shared" si="1"/>
        <v>96</v>
      </c>
      <c r="K28" s="149">
        <f t="shared" si="1"/>
        <v>96</v>
      </c>
      <c r="L28" s="149">
        <f t="shared" si="1"/>
        <v>96</v>
      </c>
      <c r="M28" s="149">
        <f t="shared" si="1"/>
        <v>96</v>
      </c>
      <c r="P28" s="136"/>
      <c r="Q28" s="136"/>
      <c r="R28" s="136"/>
      <c r="S28" s="136"/>
      <c r="T28" s="136"/>
      <c r="U28" s="136"/>
      <c r="V28" s="47"/>
    </row>
    <row r="29" spans="2:22" x14ac:dyDescent="0.25">
      <c r="C29" s="36">
        <v>3</v>
      </c>
      <c r="D29" s="140" t="s">
        <v>2</v>
      </c>
      <c r="E29" s="140"/>
      <c r="F29" s="140"/>
      <c r="G29" s="11">
        <v>39</v>
      </c>
      <c r="H29" s="11">
        <v>80</v>
      </c>
      <c r="I29" s="11">
        <v>61</v>
      </c>
      <c r="J29" s="11">
        <v>80</v>
      </c>
      <c r="K29" s="11">
        <v>74</v>
      </c>
      <c r="L29" s="11">
        <v>80</v>
      </c>
      <c r="M29" s="11">
        <v>80</v>
      </c>
      <c r="P29" s="137"/>
      <c r="Q29" s="137"/>
      <c r="R29" s="137"/>
      <c r="S29" s="137"/>
      <c r="T29" s="137"/>
      <c r="U29" s="137"/>
      <c r="V29" s="47"/>
    </row>
    <row r="30" spans="2:22" x14ac:dyDescent="0.25">
      <c r="C30" s="36">
        <v>4</v>
      </c>
      <c r="D30" s="140" t="s">
        <v>12</v>
      </c>
      <c r="E30" s="140"/>
      <c r="F30" s="140"/>
      <c r="G30" s="11">
        <v>100</v>
      </c>
      <c r="H30" s="11">
        <v>100</v>
      </c>
      <c r="I30" s="11">
        <v>100</v>
      </c>
      <c r="J30" s="11">
        <v>100</v>
      </c>
      <c r="K30" s="11">
        <v>100</v>
      </c>
      <c r="L30" s="11">
        <v>100</v>
      </c>
      <c r="M30" s="11">
        <v>100</v>
      </c>
      <c r="P30" s="138"/>
      <c r="Q30" s="138"/>
      <c r="R30" s="138"/>
      <c r="S30" s="138"/>
      <c r="T30" s="138"/>
      <c r="U30" s="138"/>
      <c r="V30" s="47"/>
    </row>
    <row r="31" spans="2:22" x14ac:dyDescent="0.25">
      <c r="C31" s="36">
        <v>5</v>
      </c>
      <c r="D31" s="140" t="s">
        <v>4</v>
      </c>
      <c r="E31" s="140"/>
      <c r="F31" s="140"/>
      <c r="G31" s="11">
        <v>98</v>
      </c>
      <c r="H31" s="11">
        <v>98</v>
      </c>
      <c r="I31" s="11">
        <v>98</v>
      </c>
      <c r="J31" s="11">
        <v>98</v>
      </c>
      <c r="K31" s="11">
        <v>98</v>
      </c>
      <c r="L31" s="11">
        <v>98</v>
      </c>
      <c r="M31" s="11">
        <v>98</v>
      </c>
      <c r="P31" s="138"/>
      <c r="Q31" s="138"/>
      <c r="R31" s="138"/>
      <c r="S31" s="138"/>
      <c r="T31" s="138"/>
      <c r="U31" s="138"/>
      <c r="V31" s="47"/>
    </row>
    <row r="32" spans="2:22" x14ac:dyDescent="0.25">
      <c r="C32" s="36">
        <v>6</v>
      </c>
      <c r="D32" s="140" t="s">
        <v>9</v>
      </c>
      <c r="E32" s="140"/>
      <c r="F32" s="140"/>
      <c r="G32" s="10">
        <v>77</v>
      </c>
      <c r="H32" s="12">
        <v>94</v>
      </c>
      <c r="I32" s="12">
        <v>86</v>
      </c>
      <c r="J32" s="12">
        <v>94</v>
      </c>
      <c r="K32" s="12">
        <v>91</v>
      </c>
      <c r="L32" s="12">
        <v>94</v>
      </c>
      <c r="M32" s="12">
        <v>94</v>
      </c>
      <c r="P32" s="138"/>
      <c r="Q32" s="138"/>
      <c r="R32" s="138"/>
      <c r="S32" s="138"/>
      <c r="T32" s="138"/>
      <c r="U32" s="138"/>
      <c r="V32" s="47"/>
    </row>
    <row r="33" spans="2:22" x14ac:dyDescent="0.25">
      <c r="C33" s="36">
        <v>7</v>
      </c>
      <c r="D33" s="140" t="s">
        <v>10</v>
      </c>
      <c r="E33" s="140"/>
      <c r="F33" s="140"/>
      <c r="G33" s="10">
        <v>30</v>
      </c>
      <c r="H33" s="12">
        <v>77</v>
      </c>
      <c r="I33" s="12">
        <v>55</v>
      </c>
      <c r="J33" s="12">
        <v>77</v>
      </c>
      <c r="K33" s="12">
        <v>70</v>
      </c>
      <c r="L33" s="12">
        <v>77</v>
      </c>
      <c r="M33" s="12">
        <v>77</v>
      </c>
      <c r="P33" s="138"/>
      <c r="Q33" s="138"/>
      <c r="R33" s="138"/>
      <c r="S33" s="138"/>
      <c r="T33" s="138"/>
      <c r="U33" s="138"/>
      <c r="V33" s="47"/>
    </row>
    <row r="34" spans="2:22" x14ac:dyDescent="0.25">
      <c r="C34" s="36">
        <v>8</v>
      </c>
      <c r="D34" s="140" t="s">
        <v>5</v>
      </c>
      <c r="E34" s="140"/>
      <c r="F34" s="140"/>
      <c r="G34" s="10">
        <v>77</v>
      </c>
      <c r="H34" s="12">
        <v>77</v>
      </c>
      <c r="I34" s="12">
        <v>77</v>
      </c>
      <c r="J34" s="12">
        <v>77</v>
      </c>
      <c r="K34" s="12">
        <v>77</v>
      </c>
      <c r="L34" s="12">
        <v>77</v>
      </c>
      <c r="M34" s="12">
        <v>77</v>
      </c>
      <c r="P34" s="138"/>
      <c r="Q34" s="138"/>
      <c r="R34" s="138"/>
      <c r="S34" s="138"/>
      <c r="T34" s="138"/>
      <c r="U34" s="138"/>
      <c r="V34" s="47"/>
    </row>
    <row r="35" spans="2:22" x14ac:dyDescent="0.25">
      <c r="C35" s="36">
        <v>9</v>
      </c>
      <c r="D35" s="140" t="s">
        <v>7</v>
      </c>
      <c r="E35" s="140"/>
      <c r="F35" s="140"/>
      <c r="G35" s="10">
        <v>100</v>
      </c>
      <c r="H35" s="12">
        <v>100</v>
      </c>
      <c r="I35" s="12">
        <v>100</v>
      </c>
      <c r="J35" s="12">
        <v>100</v>
      </c>
      <c r="K35" s="12">
        <v>100</v>
      </c>
      <c r="L35" s="12">
        <v>100</v>
      </c>
      <c r="M35" s="12">
        <v>100</v>
      </c>
      <c r="P35" s="139"/>
      <c r="Q35" s="139"/>
      <c r="R35" s="139"/>
      <c r="S35" s="139"/>
      <c r="T35" s="139"/>
      <c r="U35" s="139"/>
      <c r="V35" s="47"/>
    </row>
    <row r="36" spans="2:22" x14ac:dyDescent="0.25">
      <c r="P36" s="47"/>
      <c r="Q36" s="47"/>
      <c r="R36" s="47"/>
      <c r="S36" s="47"/>
      <c r="T36" s="47"/>
      <c r="U36" s="47"/>
      <c r="V36" s="47"/>
    </row>
    <row r="37" spans="2:22" x14ac:dyDescent="0.25">
      <c r="B37" s="40" t="s">
        <v>58</v>
      </c>
      <c r="P37" s="47"/>
      <c r="Q37" s="47"/>
      <c r="R37" s="47"/>
      <c r="S37" s="47"/>
      <c r="T37" s="47"/>
      <c r="U37" s="47"/>
      <c r="V37" s="47"/>
    </row>
    <row r="38" spans="2:22" x14ac:dyDescent="0.25">
      <c r="B38" s="342" t="s">
        <v>59</v>
      </c>
      <c r="C38" s="342"/>
      <c r="D38" s="342"/>
      <c r="E38" s="342"/>
      <c r="F38" s="342"/>
      <c r="G38" s="342"/>
      <c r="H38" s="342"/>
      <c r="I38" s="342"/>
      <c r="J38" s="342"/>
      <c r="K38" s="342"/>
      <c r="L38" s="342"/>
      <c r="M38" s="342"/>
    </row>
    <row r="39" spans="2:22" x14ac:dyDescent="0.25">
      <c r="B39" s="342"/>
      <c r="C39" s="342"/>
      <c r="D39" s="342"/>
      <c r="E39" s="342"/>
      <c r="F39" s="342"/>
      <c r="G39" s="342"/>
      <c r="H39" s="342"/>
      <c r="I39" s="342"/>
      <c r="J39" s="342"/>
      <c r="K39" s="342"/>
      <c r="L39" s="342"/>
      <c r="M39" s="342"/>
    </row>
    <row r="40" spans="2:22" x14ac:dyDescent="0.25">
      <c r="B40" s="342"/>
      <c r="C40" s="342"/>
      <c r="D40" s="342"/>
      <c r="E40" s="342"/>
      <c r="F40" s="342"/>
      <c r="G40" s="342"/>
      <c r="H40" s="342"/>
      <c r="I40" s="342"/>
      <c r="J40" s="342"/>
      <c r="K40" s="342"/>
      <c r="L40" s="342"/>
      <c r="M40" s="342"/>
    </row>
    <row r="41" spans="2:22" x14ac:dyDescent="0.25">
      <c r="B41" s="342"/>
      <c r="C41" s="342"/>
      <c r="D41" s="342"/>
      <c r="E41" s="342"/>
      <c r="F41" s="342"/>
      <c r="G41" s="342"/>
      <c r="H41" s="342"/>
      <c r="I41" s="342"/>
      <c r="J41" s="342"/>
      <c r="K41" s="342"/>
      <c r="L41" s="342"/>
      <c r="M41" s="342"/>
    </row>
    <row r="42" spans="2:22" x14ac:dyDescent="0.25">
      <c r="B42" s="346" t="s">
        <v>63</v>
      </c>
      <c r="C42" s="346"/>
      <c r="D42" s="346"/>
      <c r="E42" s="346"/>
      <c r="F42" s="346"/>
      <c r="G42" s="346"/>
      <c r="H42" s="346"/>
      <c r="I42" s="346"/>
      <c r="J42" s="346"/>
      <c r="K42" s="346"/>
      <c r="L42" s="346"/>
      <c r="M42" s="346"/>
    </row>
    <row r="43" spans="2:22" x14ac:dyDescent="0.25">
      <c r="H43" s="23" t="s">
        <v>62</v>
      </c>
      <c r="I43" s="344" t="s">
        <v>130</v>
      </c>
      <c r="J43" s="344"/>
      <c r="K43" s="344"/>
    </row>
    <row r="44" spans="2:22" x14ac:dyDescent="0.25">
      <c r="C44" t="s">
        <v>60</v>
      </c>
      <c r="F44" t="s">
        <v>28</v>
      </c>
      <c r="H44" s="56">
        <v>0.05</v>
      </c>
      <c r="I44" s="56">
        <v>0.05</v>
      </c>
      <c r="J44">
        <v>2.5000000000000001E-2</v>
      </c>
      <c r="K44" s="56">
        <v>0</v>
      </c>
    </row>
    <row r="45" spans="2:22" x14ac:dyDescent="0.25">
      <c r="C45" t="s">
        <v>61</v>
      </c>
      <c r="F45" t="s">
        <v>129</v>
      </c>
      <c r="H45">
        <v>-2</v>
      </c>
      <c r="I45">
        <v>-2</v>
      </c>
      <c r="J45">
        <v>-1</v>
      </c>
      <c r="K45">
        <v>0</v>
      </c>
    </row>
  </sheetData>
  <sortState ref="C27:M35">
    <sortCondition ref="C27"/>
  </sortState>
  <mergeCells count="18">
    <mergeCell ref="I43:K43"/>
    <mergeCell ref="F10:M10"/>
    <mergeCell ref="F11:M11"/>
    <mergeCell ref="F12:M12"/>
    <mergeCell ref="F13:M13"/>
    <mergeCell ref="F14:M14"/>
    <mergeCell ref="F15:M15"/>
    <mergeCell ref="F16:M16"/>
    <mergeCell ref="F17:M17"/>
    <mergeCell ref="F18:M18"/>
    <mergeCell ref="F19:M19"/>
    <mergeCell ref="B38:M41"/>
    <mergeCell ref="B42:M42"/>
    <mergeCell ref="G25:M25"/>
    <mergeCell ref="B22:M24"/>
    <mergeCell ref="B6:M8"/>
    <mergeCell ref="B2:M3"/>
    <mergeCell ref="B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Summary</vt:lpstr>
      <vt:lpstr>1</vt:lpstr>
      <vt:lpstr>2</vt:lpstr>
      <vt:lpstr>3</vt:lpstr>
      <vt:lpstr>4</vt:lpstr>
      <vt:lpstr>5</vt:lpstr>
      <vt:lpstr>6</vt:lpstr>
      <vt:lpstr>7</vt:lpstr>
      <vt:lpstr>TheModel</vt:lpstr>
      <vt:lpstr>Events</vt:lpstr>
      <vt:lpstr>Landcover</vt:lpstr>
      <vt:lpstr>LandcoverPotential</vt:lpstr>
      <vt:lpstr>LC_HSG_Data</vt:lpstr>
      <vt:lpstr>Instructions</vt:lpstr>
      <vt:lpstr>Ci</vt:lpstr>
      <vt:lpstr>CNadj</vt:lpstr>
      <vt:lpstr>CommunityName</vt:lpstr>
      <vt:lpstr>CompositeCN</vt:lpstr>
      <vt:lpstr>Design_Event</vt:lpstr>
      <vt:lpstr>LANDCOVER</vt:lpstr>
      <vt:lpstr>LANDCOVERPOT</vt:lpstr>
      <vt:lpstr>'2'!LossCF</vt:lpstr>
      <vt:lpstr>'3'!LossCF</vt:lpstr>
      <vt:lpstr>'4'!LossCF</vt:lpstr>
      <vt:lpstr>'5'!LossCF</vt:lpstr>
      <vt:lpstr>'6'!LossCF</vt:lpstr>
      <vt:lpstr>'7'!LossCF</vt:lpstr>
      <vt:lpstr>LossCF</vt:lpstr>
      <vt:lpstr>ModelCi</vt:lpstr>
      <vt:lpstr>TCN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Scrivani</dc:creator>
  <cp:lastModifiedBy>Shelly Mayo</cp:lastModifiedBy>
  <dcterms:created xsi:type="dcterms:W3CDTF">2018-02-14T20:48:52Z</dcterms:created>
  <dcterms:modified xsi:type="dcterms:W3CDTF">2018-08-07T17:31:07Z</dcterms:modified>
</cp:coreProperties>
</file>