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ex-fs-1\Departments\TID\Development_Services\Bond Estimates &amp; Forms\Master Bond Worksheet\"/>
    </mc:Choice>
  </mc:AlternateContent>
  <xr:revisionPtr revIDLastSave="0" documentId="13_ncr:1_{9B0D58E7-245C-4178-9E6F-24F8DC797D77}" xr6:coauthVersionLast="36" xr6:coauthVersionMax="36" xr10:uidLastSave="{00000000-0000-0000-0000-000000000000}"/>
  <bookViews>
    <workbookView xWindow="0" yWindow="0" windowWidth="23040" windowHeight="9060" xr2:uid="{949C587A-CE0F-4B0E-B3E0-A00683C917C8}"/>
  </bookViews>
  <sheets>
    <sheet name="Warranty Bond Worksheet" sheetId="1" r:id="rId1"/>
    <sheet name="Performance Bond Worksheet" sheetId="2" r:id="rId2"/>
  </sheets>
  <definedNames>
    <definedName name="Additional_discount" localSheetId="1">#REF!</definedName>
    <definedName name="Additional_discount" localSheetId="0">#REF!</definedName>
    <definedName name="Additional_discount">#REF!</definedName>
    <definedName name="Amount" localSheetId="1">#REF!*#REF!-IF(#REF!*#REF!&gt;'Performance Bond Worksheet'!AmountForDiscount,1,0)*#REF!*#REF!*'Performance Bond Worksheet'!DiscountPercent</definedName>
    <definedName name="Amount" localSheetId="0">#REF!*#REF!-IF(#REF!*#REF!&gt;'Warranty Bond Worksheet'!AmountForDiscount,1,0)*#REF!*#REF!*'Warranty Bond Worksheet'!DiscountPercent</definedName>
    <definedName name="Amount">#REF!*#REF!-IF(#REF!*#REF!&gt;AmountForDiscount,1,0)*#REF!*#REF!*DiscountPercent</definedName>
    <definedName name="AmountForDiscount" localSheetId="1">#REF!</definedName>
    <definedName name="AmountForDiscount" localSheetId="0">#REF!</definedName>
    <definedName name="AmountForDiscount">#REF!</definedName>
    <definedName name="Balance_due" localSheetId="1">('Performance Bond Worksheet'!subtotal-IF('Performance Bond Worksheet'!Additional_discount&gt;0,'Performance Bond Worksheet'!Additional_discount*'Performance Bond Worksheet'!subtotal,0))+(IF('Performance Bond Worksheet'!Additional_discount&gt;0,'Performance Bond Worksheet'!subtotal-('Performance Bond Worksheet'!Additional_discount*'Performance Bond Worksheet'!subtotal),'Performance Bond Worksheet'!subtotal)*'Performance Bond Worksheet'!Tax)-'Performance Bond Worksheet'!Credit</definedName>
    <definedName name="Balance_due" localSheetId="0">('Warranty Bond Worksheet'!subtotal-IF('Warranty Bond Worksheet'!Additional_discount&gt;0,'Warranty Bond Worksheet'!Additional_discount*'Warranty Bond Worksheet'!subtotal,0))+(IF('Warranty Bond Worksheet'!Additional_discount&gt;0,'Warranty Bond Worksheet'!subtotal-('Warranty Bond Worksheet'!Additional_discount*'Warranty Bond Worksheet'!subtotal),'Warranty Bond Worksheet'!subtotal)*'Warranty Bond Worksheet'!Tax)-'Warranty Bond Worksheet'!Credit</definedName>
    <definedName name="Balance_due">(subtotal-IF(Additional_discount&gt;0,Additional_discount*subtotal,0))+(IF(Additional_discount&gt;0,subtotal-(Additional_discount*subtotal),subtotal)*Tax)-Credit</definedName>
    <definedName name="ColumnTitle1" localSheetId="1">#REF!</definedName>
    <definedName name="ColumnTitle1" localSheetId="0">#REF!</definedName>
    <definedName name="ColumnTitle1">#REF!</definedName>
    <definedName name="ColumnTitleRegion1..B12.1" localSheetId="1">#REF!</definedName>
    <definedName name="ColumnTitleRegion1..B12.1" localSheetId="0">#REF!</definedName>
    <definedName name="ColumnTitleRegion1..B12.1">#REF!</definedName>
    <definedName name="Credit" localSheetId="1">#REF!</definedName>
    <definedName name="Credit" localSheetId="0">#REF!</definedName>
    <definedName name="Credit">#REF!</definedName>
    <definedName name="Culvert">#REF!</definedName>
    <definedName name="Discount_applied" localSheetId="1">IF(#REF!*#REF!&gt;'Performance Bond Worksheet'!AmountForDiscount,1,0)</definedName>
    <definedName name="Discount_applied" localSheetId="0">IF(#REF!*#REF!&gt;'Warranty Bond Worksheet'!AmountForDiscount,1,0)</definedName>
    <definedName name="Discount_applied">IF(#REF!*#REF!&gt;AmountForDiscount,1,0)</definedName>
    <definedName name="DiscountPercent" localSheetId="1">#REF!</definedName>
    <definedName name="DiscountPercent" localSheetId="0">#REF!</definedName>
    <definedName name="DiscountPercent">#REF!</definedName>
    <definedName name="RowTitleRegion1..F4" localSheetId="1">#REF!</definedName>
    <definedName name="RowTitleRegion1..F4" localSheetId="0">#REF!</definedName>
    <definedName name="RowTitleRegion1..F4">#REF!</definedName>
    <definedName name="RowTitleRegion2..F10" localSheetId="1">#REF!</definedName>
    <definedName name="RowTitleRegion2..F10" localSheetId="0">#REF!</definedName>
    <definedName name="RowTitleRegion2..F10">#REF!</definedName>
    <definedName name="RowTitleRegion3..E29" localSheetId="1">#REF!</definedName>
    <definedName name="RowTitleRegion3..E29" localSheetId="0">#REF!</definedName>
    <definedName name="RowTitleRegion3..E29">#REF!</definedName>
    <definedName name="subtotal" localSheetId="1">#REF!</definedName>
    <definedName name="subtotal" localSheetId="0">#REF!</definedName>
    <definedName name="subtotal">#REF!</definedName>
    <definedName name="Tax" localSheetId="1">#REF!</definedName>
    <definedName name="Tax" localSheetId="0">#REF!</definedName>
    <definedName name="Tax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0" i="1" l="1"/>
  <c r="E251" i="1"/>
  <c r="E250" i="1"/>
  <c r="E249" i="1"/>
  <c r="E191" i="1"/>
  <c r="E70" i="1" l="1"/>
  <c r="E69" i="1"/>
  <c r="E44" i="1"/>
  <c r="E45" i="1"/>
  <c r="E292" i="1" l="1"/>
  <c r="E286" i="1"/>
  <c r="E145" i="1" l="1"/>
  <c r="E146" i="1"/>
  <c r="E147" i="1"/>
  <c r="E148" i="1"/>
  <c r="E149" i="1"/>
  <c r="E150" i="1"/>
  <c r="E152" i="1"/>
  <c r="E151" i="1"/>
  <c r="E102" i="1"/>
  <c r="E55" i="1"/>
  <c r="E56" i="1"/>
  <c r="E174" i="1" l="1"/>
  <c r="E58" i="1"/>
  <c r="E120" i="1"/>
  <c r="E111" i="1"/>
  <c r="E267" i="1"/>
  <c r="E41" i="1"/>
  <c r="E43" i="1"/>
  <c r="E29" i="1"/>
  <c r="E42" i="1"/>
  <c r="E40" i="1"/>
  <c r="E39" i="1"/>
  <c r="E38" i="1"/>
  <c r="D290" i="1"/>
  <c r="D284" i="1"/>
  <c r="D283" i="1"/>
  <c r="D274" i="1"/>
  <c r="D272" i="1"/>
  <c r="D271" i="1"/>
  <c r="D266" i="1"/>
  <c r="D265" i="1"/>
  <c r="D264" i="1"/>
  <c r="D262" i="1"/>
  <c r="D261" i="1"/>
  <c r="D259" i="1"/>
  <c r="D258" i="1"/>
  <c r="D232" i="1"/>
  <c r="D223" i="1"/>
  <c r="D221" i="1"/>
  <c r="D219" i="1"/>
  <c r="D217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167" i="1"/>
  <c r="D166" i="1"/>
  <c r="D165" i="1"/>
  <c r="D160" i="1"/>
  <c r="D158" i="1"/>
  <c r="D140" i="1"/>
  <c r="D139" i="1"/>
  <c r="D138" i="1"/>
  <c r="D137" i="1"/>
  <c r="D136" i="1"/>
  <c r="D135" i="1"/>
  <c r="D86" i="1"/>
  <c r="D85" i="1"/>
  <c r="D80" i="1"/>
  <c r="D78" i="1"/>
  <c r="D128" i="1"/>
  <c r="D127" i="1"/>
  <c r="D126" i="1"/>
  <c r="D125" i="1"/>
  <c r="D124" i="1"/>
  <c r="D123" i="1"/>
  <c r="D122" i="1"/>
  <c r="D119" i="1"/>
  <c r="D118" i="1"/>
  <c r="D117" i="1"/>
  <c r="D116" i="1"/>
  <c r="D115" i="1"/>
  <c r="D114" i="1"/>
  <c r="D113" i="1"/>
  <c r="D110" i="1"/>
  <c r="D109" i="1"/>
  <c r="D108" i="1"/>
  <c r="D107" i="1"/>
  <c r="D106" i="1"/>
  <c r="D104" i="1"/>
  <c r="D101" i="1"/>
  <c r="D100" i="1"/>
  <c r="D99" i="1"/>
  <c r="D98" i="1"/>
  <c r="D97" i="1"/>
  <c r="D96" i="1"/>
  <c r="D95" i="1"/>
  <c r="D88" i="1"/>
  <c r="D87" i="1"/>
  <c r="D81" i="1"/>
  <c r="D65" i="1"/>
  <c r="D64" i="1"/>
  <c r="D62" i="1"/>
  <c r="D60" i="1"/>
  <c r="E15" i="2" l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32" i="2"/>
  <c r="E33" i="2"/>
  <c r="E34" i="2"/>
  <c r="E35" i="2"/>
  <c r="E36" i="2"/>
  <c r="E37" i="2"/>
  <c r="E38" i="2"/>
  <c r="E42" i="2"/>
  <c r="E43" i="2"/>
  <c r="E44" i="2"/>
  <c r="E45" i="2"/>
  <c r="E46" i="2"/>
  <c r="E47" i="2"/>
  <c r="E48" i="2"/>
  <c r="E52" i="2"/>
  <c r="E53" i="2"/>
  <c r="E54" i="2"/>
  <c r="E55" i="2"/>
  <c r="E56" i="2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3" i="1"/>
  <c r="E34" i="1"/>
  <c r="E35" i="1"/>
  <c r="E36" i="1"/>
  <c r="E37" i="1"/>
  <c r="E49" i="1"/>
  <c r="E50" i="1"/>
  <c r="E51" i="1"/>
  <c r="E52" i="1"/>
  <c r="E53" i="1"/>
  <c r="E54" i="1"/>
  <c r="E57" i="1"/>
  <c r="E59" i="1"/>
  <c r="E60" i="1"/>
  <c r="E61" i="1"/>
  <c r="E62" i="1"/>
  <c r="E63" i="1"/>
  <c r="E64" i="1"/>
  <c r="E65" i="1"/>
  <c r="E66" i="1"/>
  <c r="E67" i="1"/>
  <c r="E68" i="1"/>
  <c r="E78" i="1"/>
  <c r="E79" i="1"/>
  <c r="E80" i="1"/>
  <c r="E81" i="1"/>
  <c r="E82" i="1"/>
  <c r="E83" i="1"/>
  <c r="E85" i="1"/>
  <c r="E86" i="1"/>
  <c r="E87" i="1"/>
  <c r="E88" i="1"/>
  <c r="E89" i="1"/>
  <c r="E90" i="1"/>
  <c r="E95" i="1"/>
  <c r="E96" i="1"/>
  <c r="E97" i="1"/>
  <c r="E98" i="1"/>
  <c r="E99" i="1"/>
  <c r="E100" i="1"/>
  <c r="E101" i="1"/>
  <c r="E104" i="1"/>
  <c r="E105" i="1"/>
  <c r="E106" i="1"/>
  <c r="E107" i="1"/>
  <c r="E108" i="1"/>
  <c r="E109" i="1"/>
  <c r="E110" i="1"/>
  <c r="E113" i="1"/>
  <c r="E114" i="1"/>
  <c r="E115" i="1"/>
  <c r="E116" i="1"/>
  <c r="E117" i="1"/>
  <c r="E118" i="1"/>
  <c r="E119" i="1"/>
  <c r="E122" i="1"/>
  <c r="E123" i="1"/>
  <c r="E124" i="1"/>
  <c r="E125" i="1"/>
  <c r="E126" i="1"/>
  <c r="E127" i="1"/>
  <c r="E128" i="1"/>
  <c r="E129" i="1"/>
  <c r="E134" i="1"/>
  <c r="E135" i="1"/>
  <c r="E136" i="1"/>
  <c r="E137" i="1"/>
  <c r="E138" i="1"/>
  <c r="E139" i="1"/>
  <c r="E140" i="1"/>
  <c r="E141" i="1"/>
  <c r="E153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5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5" i="1"/>
  <c r="E196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31" i="1"/>
  <c r="E233" i="1"/>
  <c r="E234" i="1"/>
  <c r="E235" i="1"/>
  <c r="E236" i="1"/>
  <c r="E240" i="1"/>
  <c r="E241" i="1"/>
  <c r="E242" i="1"/>
  <c r="E243" i="1"/>
  <c r="E244" i="1"/>
  <c r="E245" i="1"/>
  <c r="E258" i="1"/>
  <c r="E259" i="1"/>
  <c r="E260" i="1"/>
  <c r="E261" i="1"/>
  <c r="E262" i="1"/>
  <c r="E263" i="1"/>
  <c r="E264" i="1"/>
  <c r="E265" i="1"/>
  <c r="E266" i="1"/>
  <c r="E271" i="1"/>
  <c r="E272" i="1"/>
  <c r="E273" i="1"/>
  <c r="E274" i="1"/>
  <c r="E275" i="1"/>
  <c r="E276" i="1"/>
  <c r="E280" i="1"/>
  <c r="E281" i="1"/>
  <c r="E282" i="1"/>
  <c r="E283" i="1"/>
  <c r="E284" i="1"/>
  <c r="E285" i="1"/>
  <c r="E290" i="1"/>
  <c r="E291" i="1"/>
  <c r="E57" i="2" l="1"/>
  <c r="E49" i="2"/>
  <c r="E39" i="2"/>
  <c r="E29" i="2"/>
  <c r="E192" i="1"/>
  <c r="E287" i="1"/>
  <c r="E46" i="1"/>
  <c r="E277" i="1"/>
  <c r="E176" i="1"/>
  <c r="E91" i="1"/>
  <c r="E228" i="1"/>
  <c r="E246" i="1"/>
  <c r="E30" i="1"/>
  <c r="E293" i="1"/>
  <c r="E130" i="1"/>
  <c r="E142" i="1"/>
  <c r="E71" i="1"/>
  <c r="E268" i="1"/>
  <c r="E252" i="1"/>
  <c r="E232" i="1"/>
  <c r="E237" i="1" s="1"/>
  <c r="E58" i="2" l="1"/>
  <c r="E62" i="2" s="1"/>
  <c r="E72" i="1"/>
  <c r="E294" i="1"/>
  <c r="E197" i="1"/>
  <c r="E298" i="1" s="1"/>
  <c r="E253" i="1"/>
  <c r="E299" i="1" s="1"/>
  <c r="E297" i="1" l="1"/>
  <c r="E301" i="1" s="1"/>
  <c r="E304" i="1" l="1"/>
</calcChain>
</file>

<file path=xl/sharedStrings.xml><?xml version="1.0" encoding="utf-8"?>
<sst xmlns="http://schemas.openxmlformats.org/spreadsheetml/2006/main" count="656" uniqueCount="209">
  <si>
    <t xml:space="preserve"> </t>
  </si>
  <si>
    <t>TOTAL WARRANTY BOND</t>
  </si>
  <si>
    <t xml:space="preserve">          Place Engineer's Seal Here</t>
  </si>
  <si>
    <t>WARRANTY BOND MULTIPLIER</t>
  </si>
  <si>
    <t>TOTAL ROADWAY</t>
  </si>
  <si>
    <t>TOTAL STORM DRAIN</t>
  </si>
  <si>
    <t>TOTAL SEWER</t>
  </si>
  <si>
    <t>TOTAL WATER</t>
  </si>
  <si>
    <t>TOTAL TRAFFIC CONTROL</t>
  </si>
  <si>
    <t>click to add new item</t>
  </si>
  <si>
    <t>EA</t>
  </si>
  <si>
    <t>SIGNS, TYPE E (SUPPLY &amp; INSTALL)</t>
  </si>
  <si>
    <t>SY</t>
  </si>
  <si>
    <t>5" MONOLITHIC CONCRETE ISLAND</t>
  </si>
  <si>
    <t>TOTAL</t>
  </si>
  <si>
    <t>UNIT COST</t>
  </si>
  <si>
    <t>UNIT</t>
  </si>
  <si>
    <t>QUANTITY</t>
  </si>
  <si>
    <t>ITEM DESCRIPTION</t>
  </si>
  <si>
    <t>SECTION 4 - TRAFFIC CONTROL</t>
  </si>
  <si>
    <t xml:space="preserve">   </t>
  </si>
  <si>
    <t>TOTAL PAVEMENT MARKING</t>
  </si>
  <si>
    <t>THERMOPLASTIC PAVEMENT MARKING SYMBOLS (90 MILS)</t>
  </si>
  <si>
    <t>LF</t>
  </si>
  <si>
    <t>THERMOPLASTIC PAVEMENT MARKING LINES (24", 120 MILS)</t>
  </si>
  <si>
    <t>THERMOPLASTIC PAVEMENT MARKING LINES (8", 120 MILS)</t>
  </si>
  <si>
    <t>THERMOPLASTIC PAVEMENT MARKING LINES (4", 120 MILS)</t>
  </si>
  <si>
    <t>THERMOPLASTIC PAVEMENT MARKING LINES (4", 90 MILS)</t>
  </si>
  <si>
    <t>SECTION 3 - PAVEMENT MARKING</t>
  </si>
  <si>
    <t>TOTAL CURB &amp; GUTTER / SIDEWALK</t>
  </si>
  <si>
    <t>CONCRETE CURB RAMP</t>
  </si>
  <si>
    <t>ASPHALT MULTI-USE PATH (10' WIDTH)</t>
  </si>
  <si>
    <t>CONCRETE SIDEWALK (4" DEPTH, 5' WIDTH)</t>
  </si>
  <si>
    <t>2'-6" (30") CONCRETE CURB &amp; GUTTER</t>
  </si>
  <si>
    <t>1'-6" (18") CONCRETE CURB &amp; GUTTER</t>
  </si>
  <si>
    <t>SECTION 2 - CURB &amp; GUTTER / SIDEWALK</t>
  </si>
  <si>
    <t>TOTAL PAVING</t>
  </si>
  <si>
    <t>AGGREGATE BASE COURSE, 10.0"</t>
  </si>
  <si>
    <t>ASPHALT CONCRETE BASE COURSE, 5.0"</t>
  </si>
  <si>
    <t>ASPHALT CONCRETE INTERMEDIATE COURSE, 4.0"</t>
  </si>
  <si>
    <t>ASPHALT CONCRETE INTERMEDIATE COURSE, 2.5"</t>
  </si>
  <si>
    <t>ASPHALT CONCRETE SURFACE COURSE, 3.0"</t>
  </si>
  <si>
    <t>ASPHALT CONCRETE SURFACE COURSE, 2.0"</t>
  </si>
  <si>
    <t>ASPHALT CONCRETE SURFACE COURSE, 1.5"</t>
  </si>
  <si>
    <t>ASPHALT CONCRETE SURFACE COURSE, 1.0"</t>
  </si>
  <si>
    <r>
      <t xml:space="preserve">SECTION 1 - PAVING </t>
    </r>
    <r>
      <rPr>
        <i/>
        <sz val="11"/>
        <color theme="0"/>
        <rFont val="Calibri"/>
        <family val="2"/>
        <scheme val="minor"/>
      </rPr>
      <t>(List road names and stationing -- add extra cells if needed):</t>
    </r>
  </si>
  <si>
    <t>ROADWAY</t>
  </si>
  <si>
    <t>TOTAL MISC</t>
  </si>
  <si>
    <t>SECTION 4 - MISC</t>
  </si>
  <si>
    <t>TOTAL RIP RAP</t>
  </si>
  <si>
    <t>TN</t>
  </si>
  <si>
    <t>RIP RAP, CLASS B</t>
  </si>
  <si>
    <t>RIP RAP, CLASS A</t>
  </si>
  <si>
    <t>RIP RAP, CLASS II</t>
  </si>
  <si>
    <t>RIP RAP, CLASS I</t>
  </si>
  <si>
    <t>SECTION 3 - RIP RAP</t>
  </si>
  <si>
    <t>TOTAL STRUCTURES</t>
  </si>
  <si>
    <t>SECTION 2 - STRUCTURES</t>
  </si>
  <si>
    <t>TOTAL PIPE</t>
  </si>
  <si>
    <t>72" PIPE END SECTION</t>
  </si>
  <si>
    <t>66" PIPE END SECTION</t>
  </si>
  <si>
    <t>60" PIPE END SECTION</t>
  </si>
  <si>
    <t>54" PIPE END SECTION</t>
  </si>
  <si>
    <t>48" PIPE END SECTION</t>
  </si>
  <si>
    <t>42" PIPE END SECTION</t>
  </si>
  <si>
    <t>36" PIPE END SECTION</t>
  </si>
  <si>
    <t>30" PIPE END SECTION</t>
  </si>
  <si>
    <t>24" PIPE END SECTION</t>
  </si>
  <si>
    <t>18" PIPE END SECTION</t>
  </si>
  <si>
    <t>15" PIPE END SECTION</t>
  </si>
  <si>
    <t>72" REINFORCED CONCRETE PIPE CULVERT, CL III</t>
  </si>
  <si>
    <t>66" REINFORCED CONCRETE PIPE CULVERT, CL III</t>
  </si>
  <si>
    <t>60" REINFORCED CONCRETE PIPE CULVERT, CL III</t>
  </si>
  <si>
    <t>54" REINFORCED CONCRETE PIPE CULVERT, CL III</t>
  </si>
  <si>
    <t>48" REINFORCED CONCRETE PIPE CULVERT, CL III</t>
  </si>
  <si>
    <t>42" REINFORCED CONCRETE PIPE CULVERT, CL III</t>
  </si>
  <si>
    <t>36" REINFORCED CONCRETE PIPE CULVERT, CL III</t>
  </si>
  <si>
    <t>30" REINFORCED CONCRETE PIPE CULVERT, CL III</t>
  </si>
  <si>
    <t>24" REINFORCED CONCRETE PIPE CULVERT, CL III</t>
  </si>
  <si>
    <t>18" REINFORCED CONCRETE PIPE CULVERT, CL III</t>
  </si>
  <si>
    <t>15" REINFORCED CONCRETE PIPE CULVERT, CL III</t>
  </si>
  <si>
    <r>
      <t xml:space="preserve">SECTION 1 - PIPE  </t>
    </r>
    <r>
      <rPr>
        <i/>
        <sz val="11"/>
        <color theme="0"/>
        <rFont val="Calibri"/>
        <family val="2"/>
        <scheme val="minor"/>
      </rPr>
      <t>(List structure numbers -- add extra cells if needed):</t>
    </r>
  </si>
  <si>
    <t>STORM DRAIN</t>
  </si>
  <si>
    <t>TOTAL PUMP STATION</t>
  </si>
  <si>
    <t>LS</t>
  </si>
  <si>
    <t>PUMP STATION</t>
  </si>
  <si>
    <t>SECTION 7 - PUMP STATION</t>
  </si>
  <si>
    <t>48" ENCASEMENT</t>
  </si>
  <si>
    <t>42" ENCASEMENT</t>
  </si>
  <si>
    <t>36" ENCASEMENT</t>
  </si>
  <si>
    <t>30" ENCASEMENT</t>
  </si>
  <si>
    <t>24" ENCASEMENT</t>
  </si>
  <si>
    <t>20" ENCASEMENT</t>
  </si>
  <si>
    <t>16" ENCASEMENT</t>
  </si>
  <si>
    <t>FLUSHING/PRESSURE TESTING</t>
  </si>
  <si>
    <t>EA MH</t>
  </si>
  <si>
    <t>VACUUM TESTING</t>
  </si>
  <si>
    <t>AIR RELEASE VALVE &amp; MANHOLE</t>
  </si>
  <si>
    <t>SECTION 6 - MISC</t>
  </si>
  <si>
    <t>TOTAL FORCEMAIN</t>
  </si>
  <si>
    <t>16" VALVE</t>
  </si>
  <si>
    <t>12" VALVE</t>
  </si>
  <si>
    <t>10" VALVE</t>
  </si>
  <si>
    <t>16" RESTRAINED</t>
  </si>
  <si>
    <t>16" PVC - C900</t>
  </si>
  <si>
    <t>12" RESTRAINED</t>
  </si>
  <si>
    <t>12" PVC - C900</t>
  </si>
  <si>
    <t>10" RESTRAINED</t>
  </si>
  <si>
    <t>10" PVC - C900</t>
  </si>
  <si>
    <r>
      <t xml:space="preserve">SECTION 5 - FORCEMAIN </t>
    </r>
    <r>
      <rPr>
        <i/>
        <sz val="11"/>
        <color theme="0"/>
        <rFont val="Calibri"/>
        <family val="2"/>
        <scheme val="minor"/>
      </rPr>
      <t>(List stationing -- add extra cells if needed):</t>
    </r>
  </si>
  <si>
    <t>TOTAL MANHOLES</t>
  </si>
  <si>
    <t>0' - 6' DEPTH</t>
  </si>
  <si>
    <t>SECTION 4 - MANHOLES</t>
  </si>
  <si>
    <t xml:space="preserve">TOTAL PVC - C900 </t>
  </si>
  <si>
    <t>24" PVC - C900</t>
  </si>
  <si>
    <t>20" PVC - C900</t>
  </si>
  <si>
    <t>18" PVC - C900</t>
  </si>
  <si>
    <t>13' - 20' DEPTH</t>
  </si>
  <si>
    <r>
      <t>SECTION 3 - PVC - C900 GRAVITY PIPE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(List manhole numbers -- add extra cells if needed):</t>
    </r>
  </si>
  <si>
    <t>TOTAL DIP PIPE</t>
  </si>
  <si>
    <t>24" DIP</t>
  </si>
  <si>
    <t>20" DIP</t>
  </si>
  <si>
    <t>18" DIP</t>
  </si>
  <si>
    <t>16" DIP</t>
  </si>
  <si>
    <t>12" DIP</t>
  </si>
  <si>
    <t>10" DIP</t>
  </si>
  <si>
    <t>&gt;20' DEPTH</t>
  </si>
  <si>
    <t>&gt;13' - 20' DEPTH</t>
  </si>
  <si>
    <t>&gt;6' - 13' DEPTH</t>
  </si>
  <si>
    <r>
      <t xml:space="preserve">SECTION 2 - DIP GRAVITY PIPE (401 PROTECTO COATED) </t>
    </r>
    <r>
      <rPr>
        <i/>
        <sz val="11"/>
        <color theme="0"/>
        <rFont val="Calibri"/>
        <family val="2"/>
        <scheme val="minor"/>
      </rPr>
      <t>(List manhole numbers -- add extra cells if needed):</t>
    </r>
  </si>
  <si>
    <t>TOTAL PVC PIPE</t>
  </si>
  <si>
    <t>16" PVC</t>
  </si>
  <si>
    <t>12" PVC</t>
  </si>
  <si>
    <t>10" PVC</t>
  </si>
  <si>
    <r>
      <t xml:space="preserve">SECTION 1 - SDR 35 GRAVITY PIPE </t>
    </r>
    <r>
      <rPr>
        <i/>
        <sz val="11"/>
        <color theme="0"/>
        <rFont val="Calibri"/>
        <family val="2"/>
        <scheme val="minor"/>
      </rPr>
      <t>(List manhole numbers -- add extra cells if needed):</t>
    </r>
  </si>
  <si>
    <t xml:space="preserve">SEWER </t>
  </si>
  <si>
    <t>FLUSHING / PRESSURE TESTING</t>
  </si>
  <si>
    <t>PURITY SAMPLING</t>
  </si>
  <si>
    <t>BLOW-OFF ASSEMBLY</t>
  </si>
  <si>
    <t>FIRE HYDRANT ASSEMBLY</t>
  </si>
  <si>
    <t>1 1/2" SERVICES</t>
  </si>
  <si>
    <t>SECTION 3 - MISC</t>
  </si>
  <si>
    <t>TOTAL VALVES</t>
  </si>
  <si>
    <t>SECTION 2 - VALVES</t>
  </si>
  <si>
    <t>16" RJDIP</t>
  </si>
  <si>
    <t>12" RJDIP</t>
  </si>
  <si>
    <t>10" RJDIP</t>
  </si>
  <si>
    <r>
      <t xml:space="preserve">SECTION 1 - PIPE </t>
    </r>
    <r>
      <rPr>
        <i/>
        <sz val="12"/>
        <color theme="0"/>
        <rFont val="Calibri"/>
        <family val="2"/>
        <scheme val="minor"/>
      </rPr>
      <t>(List stationing -- add extra cells if needed):</t>
    </r>
  </si>
  <si>
    <t>WATER</t>
  </si>
  <si>
    <t>WARRANTY ITEMS</t>
  </si>
  <si>
    <t>Project Phase:</t>
  </si>
  <si>
    <t>Project Name:</t>
  </si>
  <si>
    <t>Apex, NC  27502</t>
  </si>
  <si>
    <t>Development Services</t>
  </si>
  <si>
    <t>TOTAL PERFORMANCE BOND</t>
  </si>
  <si>
    <t>PERFORMANCE BOND MULTIPLIER</t>
  </si>
  <si>
    <t>ADJUST MANHOLE FRAME &amp; COVER</t>
  </si>
  <si>
    <t>ADJUST WATER VALVE BOX</t>
  </si>
  <si>
    <t>MILLING</t>
  </si>
  <si>
    <t>AGGREGATE BASE COURSE, 8.0"</t>
  </si>
  <si>
    <t>SECTION 1 - PAVING</t>
  </si>
  <si>
    <t>PERFORMANCE ITEMS</t>
  </si>
  <si>
    <t>105-B Upchurch Street</t>
  </si>
  <si>
    <t>30'' DIP</t>
  </si>
  <si>
    <t>3/4"    SERVICES</t>
  </si>
  <si>
    <t>12'' BLOW-OFF ASSEMBLY</t>
  </si>
  <si>
    <t xml:space="preserve">  8" DIP</t>
  </si>
  <si>
    <t xml:space="preserve">  8" PVC</t>
  </si>
  <si>
    <t xml:space="preserve">  8" VALVE</t>
  </si>
  <si>
    <t xml:space="preserve">  6" VALVE</t>
  </si>
  <si>
    <t xml:space="preserve">  8" RJDIP</t>
  </si>
  <si>
    <t xml:space="preserve">  6" RJDIP</t>
  </si>
  <si>
    <t xml:space="preserve">  6" DIP</t>
  </si>
  <si>
    <t xml:space="preserve">    1"    SERVICES</t>
  </si>
  <si>
    <t xml:space="preserve">    2"    SERVICES</t>
  </si>
  <si>
    <t xml:space="preserve">    3"    SERVICES</t>
  </si>
  <si>
    <t xml:space="preserve">    4"    SERVICES</t>
  </si>
  <si>
    <t xml:space="preserve">  8" PVC - C900</t>
  </si>
  <si>
    <t xml:space="preserve">  8" RESTRAINED</t>
  </si>
  <si>
    <t xml:space="preserve">  6" RESTRAINED</t>
  </si>
  <si>
    <t xml:space="preserve">  6" PVC - C900</t>
  </si>
  <si>
    <t xml:space="preserve">  4" RESTRAINED</t>
  </si>
  <si>
    <t xml:space="preserve">  4" PVC - C900</t>
  </si>
  <si>
    <t xml:space="preserve">  4" VALVE</t>
  </si>
  <si>
    <t xml:space="preserve">  4" SERVICES</t>
  </si>
  <si>
    <t xml:space="preserve">  6" SERVICES</t>
  </si>
  <si>
    <t>MASONRY DRAINAGE STRUCTURE,       5' &lt; DEPTH &lt;10'</t>
  </si>
  <si>
    <t>MASONRY DRAINAGE STRUCTURE,    10' &lt; DEPTH &lt;15'</t>
  </si>
  <si>
    <t>MASONRY DRAINAGE STRUCTURE, 0' - 5'   DEPTH</t>
  </si>
  <si>
    <t>THERMOPLASTIC PAVEMENT MARKING LINES         (24", 120 MILS)</t>
  </si>
  <si>
    <t>THERMOPLASTIC PAVEMENT MARKING LINES         (8",   120 MILS)</t>
  </si>
  <si>
    <t>THERMOPLASTIC PAVEMENT MARKING LINES         (4",   120 MILS)</t>
  </si>
  <si>
    <t>THERMOPLASTIC PAVEMENT MARKING LINES         (4",     90 MILS)</t>
  </si>
  <si>
    <t>919-362-7467</t>
  </si>
  <si>
    <t xml:space="preserve">  8'' INSERTION VALVE</t>
  </si>
  <si>
    <t xml:space="preserve">  2'' INSERTION VALVE</t>
  </si>
  <si>
    <t xml:space="preserve">  4'' INSERTION VALVE</t>
  </si>
  <si>
    <t xml:space="preserve">  6'' INSERTION VALVE</t>
  </si>
  <si>
    <t>10'' INSERTION VALVE</t>
  </si>
  <si>
    <t>12'' INSERTION VALVE</t>
  </si>
  <si>
    <t>4' DIA &lt;16' DEPTH</t>
  </si>
  <si>
    <t>4' DIA &gt;16' DEPTH</t>
  </si>
  <si>
    <t>5' DIA &lt;16' DEPTH</t>
  </si>
  <si>
    <t>5' DIA &gt;16' DEPTH</t>
  </si>
  <si>
    <t>6' DIA &lt;16' DEPTH</t>
  </si>
  <si>
    <t>6' DIA &gt;16' DEPTH</t>
  </si>
  <si>
    <t>AGGREGATE BASE COURSE,   8.0"</t>
  </si>
  <si>
    <t>919-372-7467</t>
  </si>
  <si>
    <t>FIRE HYDRANT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</si>
</sst>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u val="singleAccounting"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7A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double">
        <color theme="1" tint="0.249977111117893"/>
      </right>
      <top style="double">
        <color theme="1" tint="0.249977111117893"/>
      </top>
      <bottom style="double">
        <color theme="1" tint="0.249977111117893"/>
      </bottom>
      <diagonal/>
    </border>
    <border>
      <left/>
      <right/>
      <top style="double">
        <color theme="1" tint="0.249977111117893"/>
      </top>
      <bottom style="double">
        <color theme="1" tint="0.249977111117893"/>
      </bottom>
      <diagonal/>
    </border>
    <border>
      <left style="double">
        <color theme="1" tint="0.249977111117893"/>
      </left>
      <right/>
      <top style="double">
        <color theme="1" tint="0.249977111117893"/>
      </top>
      <bottom style="double">
        <color theme="1" tint="0.249977111117893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1" tint="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horizontal="left" vertical="center" wrapText="1" indent="1"/>
    </xf>
    <xf numFmtId="44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95">
    <xf numFmtId="0" fontId="0" fillId="0" borderId="0" xfId="0">
      <alignment horizontal="left" vertical="center" wrapText="1" indent="1"/>
    </xf>
    <xf numFmtId="44" fontId="0" fillId="0" borderId="0" xfId="1" applyNumberFormat="1" applyFont="1" applyAlignment="1">
      <alignment horizontal="left" vertical="center" wrapText="1" indent="1"/>
    </xf>
    <xf numFmtId="4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4" fillId="0" borderId="0" xfId="1" applyNumberFormat="1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right" vertical="center" wrapText="1"/>
    </xf>
    <xf numFmtId="0" fontId="0" fillId="0" borderId="0" xfId="0" applyProtection="1">
      <alignment horizontal="left" vertical="center" wrapText="1" indent="1"/>
      <protection locked="0"/>
    </xf>
    <xf numFmtId="44" fontId="4" fillId="3" borderId="1" xfId="1" applyNumberFormat="1" applyFont="1" applyFill="1" applyBorder="1" applyAlignment="1" applyProtection="1">
      <alignment horizontal="left" vertical="center" wrapText="1" indent="1"/>
    </xf>
    <xf numFmtId="0" fontId="5" fillId="0" borderId="0" xfId="0" applyFont="1" applyProtection="1">
      <alignment horizontal="left" vertical="center" wrapText="1" indent="1"/>
    </xf>
    <xf numFmtId="44" fontId="6" fillId="0" borderId="0" xfId="1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right" vertical="center" wrapText="1"/>
    </xf>
    <xf numFmtId="0" fontId="6" fillId="0" borderId="0" xfId="0" applyFont="1" applyProtection="1">
      <alignment horizontal="left" vertical="center" wrapText="1" indent="1"/>
    </xf>
    <xf numFmtId="9" fontId="6" fillId="0" borderId="0" xfId="2" applyFont="1" applyAlignment="1" applyProtection="1">
      <alignment horizontal="center" vertical="center"/>
    </xf>
    <xf numFmtId="44" fontId="6" fillId="0" borderId="0" xfId="1" applyNumberFormat="1" applyFont="1" applyAlignment="1" applyProtection="1">
      <alignment horizontal="left" vertical="center" wrapText="1" indent="1"/>
    </xf>
    <xf numFmtId="44" fontId="6" fillId="0" borderId="0" xfId="1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44" fontId="0" fillId="0" borderId="0" xfId="1" applyNumberFormat="1" applyFont="1" applyAlignment="1" applyProtection="1">
      <alignment horizontal="left" vertical="center" wrapText="1" indent="1"/>
    </xf>
    <xf numFmtId="44" fontId="0" fillId="0" borderId="0" xfId="1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>
      <alignment horizontal="left" vertical="center" wrapText="1" indent="1"/>
    </xf>
    <xf numFmtId="44" fontId="9" fillId="4" borderId="4" xfId="1" applyNumberFormat="1" applyFont="1" applyFill="1" applyBorder="1" applyAlignment="1" applyProtection="1">
      <alignment horizontal="left" vertical="center" wrapText="1" indent="1"/>
    </xf>
    <xf numFmtId="44" fontId="9" fillId="4" borderId="5" xfId="1" applyNumberFormat="1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vertical="center" wrapText="1"/>
    </xf>
    <xf numFmtId="44" fontId="6" fillId="5" borderId="7" xfId="1" applyNumberFormat="1" applyFont="1" applyFill="1" applyBorder="1" applyAlignment="1" applyProtection="1">
      <alignment horizontal="left" vertical="center" wrapText="1" indent="1"/>
    </xf>
    <xf numFmtId="44" fontId="6" fillId="0" borderId="7" xfId="1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7" xfId="0" applyFont="1" applyBorder="1" applyProtection="1">
      <alignment horizontal="left" vertical="center" wrapText="1" indent="1"/>
    </xf>
    <xf numFmtId="44" fontId="1" fillId="5" borderId="8" xfId="1" applyNumberFormat="1" applyFont="1" applyFill="1" applyBorder="1" applyAlignment="1" applyProtection="1">
      <alignment horizontal="left" vertical="center" wrapText="1" indent="1"/>
    </xf>
    <xf numFmtId="44" fontId="10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Protection="1">
      <alignment horizontal="left" vertical="center" wrapText="1" indent="1"/>
      <protection locked="0"/>
    </xf>
    <xf numFmtId="44" fontId="1" fillId="0" borderId="8" xfId="1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44" fontId="0" fillId="5" borderId="8" xfId="1" applyNumberFormat="1" applyFont="1" applyFill="1" applyBorder="1" applyAlignment="1" applyProtection="1">
      <alignment horizontal="left" vertical="center" wrapText="1" indent="1"/>
    </xf>
    <xf numFmtId="44" fontId="0" fillId="5" borderId="8" xfId="1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Protection="1">
      <alignment horizontal="left" vertical="center" wrapText="1" indent="1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44" fontId="2" fillId="4" borderId="8" xfId="1" applyNumberFormat="1" applyFont="1" applyFill="1" applyBorder="1" applyAlignment="1">
      <alignment horizontal="left" vertical="center" wrapText="1"/>
    </xf>
    <xf numFmtId="44" fontId="2" fillId="4" borderId="8" xfId="1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>
      <alignment horizontal="left" vertical="center" wrapText="1" indent="1"/>
    </xf>
    <xf numFmtId="44" fontId="6" fillId="5" borderId="8" xfId="1" applyNumberFormat="1" applyFont="1" applyFill="1" applyBorder="1" applyAlignment="1" applyProtection="1">
      <alignment horizontal="left" vertical="center" wrapText="1" indent="1"/>
    </xf>
    <xf numFmtId="44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>
      <alignment horizontal="left" vertical="center" wrapText="1" inden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44" fontId="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indent="1"/>
    </xf>
    <xf numFmtId="0" fontId="0" fillId="0" borderId="0" xfId="0" applyFont="1" applyFill="1">
      <alignment horizontal="left" vertical="center" wrapText="1" indent="1"/>
    </xf>
    <xf numFmtId="0" fontId="0" fillId="0" borderId="8" xfId="0" applyBorder="1" applyProtection="1">
      <alignment horizontal="left" vertical="center" wrapText="1" indent="1"/>
    </xf>
    <xf numFmtId="0" fontId="0" fillId="0" borderId="8" xfId="0" applyFont="1" applyFill="1" applyBorder="1" applyAlignment="1" applyProtection="1">
      <alignment horizontal="center" vertical="center" wrapText="1"/>
    </xf>
    <xf numFmtId="44" fontId="14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4" fontId="0" fillId="0" borderId="9" xfId="1" applyNumberFormat="1" applyFont="1" applyBorder="1" applyAlignment="1">
      <alignment horizontal="left" vertical="center" wrapText="1" indent="1"/>
    </xf>
    <xf numFmtId="44" fontId="0" fillId="0" borderId="9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>
      <alignment horizontal="left" vertical="center" wrapText="1" indent="1"/>
    </xf>
    <xf numFmtId="44" fontId="9" fillId="6" borderId="4" xfId="1" applyNumberFormat="1" applyFont="1" applyFill="1" applyBorder="1" applyAlignment="1">
      <alignment horizontal="left" vertical="center" wrapText="1" indent="1"/>
    </xf>
    <xf numFmtId="44" fontId="9" fillId="6" borderId="5" xfId="1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vertical="center" wrapText="1"/>
    </xf>
    <xf numFmtId="44" fontId="0" fillId="0" borderId="8" xfId="1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44" fontId="2" fillId="6" borderId="8" xfId="1" applyNumberFormat="1" applyFont="1" applyFill="1" applyBorder="1" applyAlignment="1">
      <alignment horizontal="left" vertical="center" wrapText="1"/>
    </xf>
    <xf numFmtId="44" fontId="2" fillId="6" borderId="8" xfId="1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>
      <alignment horizontal="left" vertical="center" wrapText="1" indent="1"/>
    </xf>
    <xf numFmtId="44" fontId="0" fillId="0" borderId="0" xfId="1" applyNumberFormat="1" applyFont="1" applyBorder="1" applyAlignment="1">
      <alignment horizontal="left" vertical="center" wrapText="1" indent="1"/>
    </xf>
    <xf numFmtId="44" fontId="0" fillId="0" borderId="0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horizontal="left" vertical="center" wrapText="1" indent="1"/>
    </xf>
    <xf numFmtId="44" fontId="9" fillId="7" borderId="4" xfId="1" applyNumberFormat="1" applyFont="1" applyFill="1" applyBorder="1" applyAlignment="1" applyProtection="1">
      <alignment horizontal="left" vertical="center" wrapText="1" indent="1"/>
    </xf>
    <xf numFmtId="44" fontId="9" fillId="7" borderId="5" xfId="1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vertical="center" wrapText="1"/>
    </xf>
    <xf numFmtId="44" fontId="2" fillId="7" borderId="8" xfId="1" applyNumberFormat="1" applyFont="1" applyFill="1" applyBorder="1" applyAlignment="1">
      <alignment horizontal="left" vertical="center" wrapText="1"/>
    </xf>
    <xf numFmtId="44" fontId="2" fillId="7" borderId="8" xfId="1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8" xfId="0" applyFont="1" applyFill="1" applyBorder="1">
      <alignment horizontal="left" vertical="center" wrapText="1" indent="1"/>
    </xf>
    <xf numFmtId="44" fontId="6" fillId="0" borderId="8" xfId="1" applyNumberFormat="1" applyFont="1" applyBorder="1" applyAlignment="1">
      <alignment horizontal="center" vertical="center" wrapText="1"/>
    </xf>
    <xf numFmtId="0" fontId="0" fillId="0" borderId="8" xfId="0" applyFill="1" applyBorder="1" applyProtection="1">
      <alignment horizontal="left" vertical="center" wrapText="1" indent="1"/>
    </xf>
    <xf numFmtId="0" fontId="6" fillId="0" borderId="8" xfId="0" applyFont="1" applyBorder="1" applyProtection="1">
      <alignment horizontal="left" vertical="center" wrapText="1" indent="1"/>
      <protection locked="0"/>
    </xf>
    <xf numFmtId="0" fontId="0" fillId="0" borderId="0" xfId="0" applyFill="1">
      <alignment horizontal="left" vertical="center" wrapText="1" indent="1"/>
    </xf>
    <xf numFmtId="44" fontId="9" fillId="8" borderId="4" xfId="1" applyNumberFormat="1" applyFont="1" applyFill="1" applyBorder="1" applyAlignment="1" applyProtection="1">
      <alignment horizontal="left" vertical="center" wrapText="1" indent="1"/>
    </xf>
    <xf numFmtId="44" fontId="9" fillId="8" borderId="5" xfId="1" applyNumberFormat="1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9" fillId="8" borderId="6" xfId="0" applyFont="1" applyFill="1" applyBorder="1" applyAlignment="1" applyProtection="1">
      <alignment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Protection="1">
      <alignment horizontal="left" vertical="center" wrapText="1" indent="1"/>
    </xf>
    <xf numFmtId="44" fontId="2" fillId="8" borderId="8" xfId="1" applyNumberFormat="1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8" xfId="0" applyFont="1" applyFill="1" applyBorder="1">
      <alignment horizontal="left" vertical="center" wrapText="1" indent="1"/>
    </xf>
    <xf numFmtId="44" fontId="2" fillId="8" borderId="8" xfId="1" applyNumberFormat="1" applyFont="1" applyFill="1" applyBorder="1" applyAlignment="1" applyProtection="1">
      <alignment horizontal="left" vertical="center" wrapText="1"/>
    </xf>
    <xf numFmtId="44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8" xfId="0" applyFont="1" applyFill="1" applyBorder="1" applyAlignment="1" applyProtection="1">
      <alignment horizontal="center" vertical="center" wrapText="1"/>
    </xf>
    <xf numFmtId="0" fontId="2" fillId="8" borderId="8" xfId="0" applyFont="1" applyFill="1" applyBorder="1" applyProtection="1">
      <alignment horizontal="left" vertical="center" wrapText="1" indent="1"/>
    </xf>
    <xf numFmtId="0" fontId="15" fillId="0" borderId="0" xfId="0" applyFont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0" borderId="8" xfId="0" applyFont="1" applyBorder="1" applyAlignment="1" applyProtection="1">
      <alignment horizontal="center" vertical="center" wrapText="1"/>
    </xf>
    <xf numFmtId="0" fontId="16" fillId="0" borderId="0" xfId="0" applyFont="1">
      <alignment horizontal="left" vertical="center" wrapText="1" indent="1"/>
    </xf>
    <xf numFmtId="0" fontId="0" fillId="0" borderId="13" xfId="0" applyBorder="1" applyProtection="1">
      <alignment horizontal="left" vertical="center" wrapText="1" indent="1"/>
    </xf>
    <xf numFmtId="44" fontId="0" fillId="0" borderId="0" xfId="0" applyNumberForma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 indent="1"/>
      <protection locked="0"/>
    </xf>
    <xf numFmtId="44" fontId="18" fillId="0" borderId="0" xfId="1" applyNumberFormat="1" applyFont="1" applyAlignment="1">
      <alignment horizontal="right" vertical="center" wrapText="1" indent="1"/>
    </xf>
    <xf numFmtId="44" fontId="19" fillId="0" borderId="0" xfId="1" applyNumberFormat="1" applyFont="1" applyAlignment="1">
      <alignment horizontal="center" vertical="center" wrapText="1"/>
    </xf>
    <xf numFmtId="14" fontId="0" fillId="0" borderId="0" xfId="0" applyNumberFormat="1">
      <alignment horizontal="left" vertical="center" wrapText="1" indent="1"/>
    </xf>
    <xf numFmtId="44" fontId="4" fillId="3" borderId="4" xfId="1" applyNumberFormat="1" applyFont="1" applyFill="1" applyBorder="1" applyAlignment="1" applyProtection="1">
      <alignment horizontal="left" vertical="center" wrapText="1" indent="1"/>
    </xf>
    <xf numFmtId="0" fontId="5" fillId="0" borderId="0" xfId="0" applyFont="1" applyBorder="1" applyProtection="1">
      <alignment horizontal="left" vertical="center" wrapText="1" indent="1"/>
    </xf>
    <xf numFmtId="9" fontId="6" fillId="0" borderId="0" xfId="2" applyFont="1" applyAlignment="1" applyProtection="1">
      <alignment horizontal="center" vertical="center" wrapText="1"/>
    </xf>
    <xf numFmtId="44" fontId="9" fillId="4" borderId="5" xfId="1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44" fontId="6" fillId="0" borderId="7" xfId="1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>
      <alignment horizontal="left" vertical="center" wrapText="1" indent="1"/>
    </xf>
    <xf numFmtId="44" fontId="10" fillId="0" borderId="7" xfId="1" applyNumberFormat="1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44" fontId="2" fillId="4" borderId="8" xfId="1" applyNumberFormat="1" applyFont="1" applyFill="1" applyBorder="1" applyAlignment="1" applyProtection="1">
      <alignment horizontal="left" vertical="center" wrapText="1"/>
    </xf>
    <xf numFmtId="44" fontId="2" fillId="4" borderId="8" xfId="1" applyNumberFormat="1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Protection="1">
      <alignment horizontal="left" vertical="center" wrapText="1" indent="1"/>
    </xf>
    <xf numFmtId="44" fontId="0" fillId="0" borderId="13" xfId="1" applyNumberFormat="1" applyFont="1" applyBorder="1" applyAlignment="1" applyProtection="1">
      <alignment horizontal="left" vertical="center" wrapText="1" indent="1"/>
    </xf>
    <xf numFmtId="44" fontId="0" fillId="0" borderId="13" xfId="1" applyNumberFormat="1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44" fontId="3" fillId="5" borderId="8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>
      <alignment horizontal="left" vertical="center" wrapText="1" indent="1"/>
    </xf>
    <xf numFmtId="164" fontId="0" fillId="0" borderId="0" xfId="0" applyNumberFormat="1">
      <alignment horizontal="left" vertical="center" wrapText="1" indent="1"/>
    </xf>
    <xf numFmtId="0" fontId="0" fillId="0" borderId="8" xfId="0" applyBorder="1">
      <alignment horizontal="left" vertical="center" wrapText="1" indent="1"/>
    </xf>
    <xf numFmtId="44" fontId="2" fillId="8" borderId="11" xfId="1" applyNumberFormat="1" applyFont="1" applyFill="1" applyBorder="1" applyAlignment="1" applyProtection="1">
      <alignment horizontal="left" vertical="center" wrapText="1"/>
    </xf>
    <xf numFmtId="0" fontId="0" fillId="0" borderId="8" xfId="0" applyFill="1" applyBorder="1">
      <alignment horizontal="left" vertical="center" wrapText="1" indent="1"/>
    </xf>
    <xf numFmtId="44" fontId="2" fillId="8" borderId="11" xfId="1" applyNumberFormat="1" applyFont="1" applyFill="1" applyBorder="1" applyAlignment="1">
      <alignment horizontal="left" vertical="center" wrapText="1"/>
    </xf>
    <xf numFmtId="0" fontId="0" fillId="9" borderId="8" xfId="0" applyFill="1" applyBorder="1" applyProtection="1">
      <alignment horizontal="left" vertical="center" wrapText="1" indent="1"/>
    </xf>
    <xf numFmtId="0" fontId="0" fillId="9" borderId="8" xfId="0" applyFill="1" applyBorder="1" applyAlignment="1" applyProtection="1">
      <alignment horizontal="center" vertical="center" wrapText="1"/>
      <protection locked="0"/>
    </xf>
    <xf numFmtId="0" fontId="0" fillId="9" borderId="8" xfId="0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 wrapText="1" indent="1"/>
    </xf>
    <xf numFmtId="0" fontId="12" fillId="6" borderId="8" xfId="3" applyFont="1" applyFill="1" applyBorder="1" applyAlignment="1">
      <alignment horizontal="left"/>
    </xf>
    <xf numFmtId="0" fontId="12" fillId="4" borderId="8" xfId="3" applyFont="1" applyFill="1" applyBorder="1" applyAlignment="1">
      <alignment horizontal="left"/>
    </xf>
    <xf numFmtId="0" fontId="6" fillId="0" borderId="11" xfId="0" applyFont="1" applyBorder="1">
      <alignment horizontal="left" vertical="center" wrapText="1" indent="1"/>
    </xf>
    <xf numFmtId="0" fontId="6" fillId="0" borderId="10" xfId="0" applyFont="1" applyBorder="1">
      <alignment horizontal="left" vertical="center" wrapText="1" indent="1"/>
    </xf>
    <xf numFmtId="0" fontId="12" fillId="7" borderId="8" xfId="3" applyFont="1" applyFill="1" applyBorder="1" applyAlignment="1">
      <alignment horizontal="left"/>
    </xf>
    <xf numFmtId="0" fontId="12" fillId="7" borderId="15" xfId="3" applyFont="1" applyFill="1" applyBorder="1" applyAlignment="1">
      <alignment horizontal="left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left"/>
    </xf>
    <xf numFmtId="0" fontId="9" fillId="7" borderId="8" xfId="3" applyFont="1" applyFill="1" applyBorder="1" applyAlignment="1">
      <alignment horizontal="left"/>
    </xf>
    <xf numFmtId="0" fontId="9" fillId="6" borderId="8" xfId="3" applyFont="1" applyFill="1" applyBorder="1" applyAlignment="1">
      <alignment horizontal="left"/>
    </xf>
    <xf numFmtId="0" fontId="0" fillId="9" borderId="8" xfId="0" applyFont="1" applyFill="1" applyBorder="1" applyAlignment="1" applyProtection="1">
      <alignment horizontal="center" vertical="center" wrapText="1"/>
    </xf>
    <xf numFmtId="9" fontId="0" fillId="0" borderId="0" xfId="2" applyFont="1" applyAlignment="1">
      <alignment horizontal="left" vertical="center" wrapText="1" indent="1"/>
    </xf>
    <xf numFmtId="164" fontId="0" fillId="5" borderId="8" xfId="0" applyNumberFormat="1" applyFill="1" applyBorder="1" applyAlignment="1">
      <alignment vertical="center" wrapText="1"/>
    </xf>
    <xf numFmtId="0" fontId="0" fillId="9" borderId="8" xfId="0" applyFont="1" applyFill="1" applyBorder="1" applyProtection="1">
      <alignment horizontal="left" vertical="center" wrapText="1" indent="1"/>
    </xf>
    <xf numFmtId="0" fontId="0" fillId="9" borderId="8" xfId="0" applyFont="1" applyFill="1" applyBorder="1" applyAlignment="1" applyProtection="1">
      <alignment horizontal="center" vertical="center" wrapText="1"/>
      <protection locked="0"/>
    </xf>
    <xf numFmtId="0" fontId="0" fillId="9" borderId="8" xfId="0" applyFill="1" applyBorder="1" applyAlignment="1" applyProtection="1">
      <alignment horizontal="left" indent="1"/>
    </xf>
    <xf numFmtId="44" fontId="10" fillId="9" borderId="8" xfId="1" applyNumberFormat="1" applyFont="1" applyFill="1" applyBorder="1" applyAlignment="1" applyProtection="1">
      <alignment horizontal="center" vertical="center" wrapText="1"/>
    </xf>
    <xf numFmtId="164" fontId="0" fillId="5" borderId="8" xfId="0" applyNumberFormat="1" applyFill="1" applyBorder="1" applyAlignment="1">
      <alignment horizontal="right" vertical="center" wrapText="1"/>
    </xf>
    <xf numFmtId="164" fontId="0" fillId="0" borderId="8" xfId="0" applyNumberFormat="1" applyBorder="1" applyAlignment="1">
      <alignment vertical="center" wrapText="1"/>
    </xf>
    <xf numFmtId="44" fontId="0" fillId="0" borderId="0" xfId="1" applyFont="1" applyAlignment="1">
      <alignment horizontal="left" vertical="center" wrapText="1" indent="1"/>
    </xf>
    <xf numFmtId="44" fontId="8" fillId="0" borderId="13" xfId="1" applyNumberFormat="1" applyFont="1" applyBorder="1" applyAlignment="1" applyProtection="1">
      <alignment horizontal="left" vertical="center" wrapText="1" indent="1"/>
    </xf>
    <xf numFmtId="0" fontId="1" fillId="9" borderId="8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right" vertical="center" wrapText="1"/>
    </xf>
    <xf numFmtId="0" fontId="4" fillId="3" borderId="2" xfId="0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right" vertical="center" wrapText="1"/>
    </xf>
    <xf numFmtId="0" fontId="12" fillId="2" borderId="8" xfId="3" applyFont="1" applyBorder="1" applyAlignment="1" applyProtection="1">
      <alignment horizontal="left"/>
    </xf>
    <xf numFmtId="0" fontId="12" fillId="2" borderId="11" xfId="3" applyFont="1" applyBorder="1" applyAlignment="1" applyProtection="1">
      <alignment horizontal="left"/>
    </xf>
    <xf numFmtId="0" fontId="12" fillId="2" borderId="8" xfId="3" applyFont="1" applyBorder="1" applyAlignment="1">
      <alignment horizontal="left"/>
    </xf>
    <xf numFmtId="0" fontId="12" fillId="2" borderId="11" xfId="3" applyFont="1" applyBorder="1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9" fillId="2" borderId="8" xfId="3" applyFont="1" applyBorder="1" applyAlignment="1" applyProtection="1">
      <alignment horizontal="left"/>
    </xf>
    <xf numFmtId="0" fontId="12" fillId="8" borderId="8" xfId="3" applyFont="1" applyFill="1" applyBorder="1" applyAlignment="1" applyProtection="1">
      <alignment horizontal="left"/>
    </xf>
    <xf numFmtId="0" fontId="20" fillId="0" borderId="0" xfId="0" applyFont="1" applyAlignment="1">
      <alignment horizontal="right" wrapText="1" indent="1"/>
    </xf>
    <xf numFmtId="0" fontId="20" fillId="0" borderId="0" xfId="0" applyFont="1" applyAlignment="1">
      <alignment horizontal="right" vertical="center" wrapText="1" indent="1"/>
    </xf>
    <xf numFmtId="49" fontId="0" fillId="0" borderId="11" xfId="0" applyNumberFormat="1" applyBorder="1" applyProtection="1">
      <alignment horizontal="left" vertical="center" wrapText="1" indent="1"/>
      <protection locked="0"/>
    </xf>
    <xf numFmtId="49" fontId="0" fillId="0" borderId="12" xfId="0" applyNumberFormat="1" applyBorder="1" applyProtection="1">
      <alignment horizontal="left" vertical="center" wrapText="1" indent="1"/>
      <protection locked="0"/>
    </xf>
    <xf numFmtId="49" fontId="0" fillId="0" borderId="10" xfId="0" applyNumberFormat="1" applyBorder="1" applyProtection="1">
      <alignment horizontal="left" vertical="center" wrapText="1" indent="1"/>
      <protection locked="0"/>
    </xf>
    <xf numFmtId="0" fontId="4" fillId="3" borderId="6" xfId="0" applyFont="1" applyFill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right" vertical="center" wrapText="1"/>
    </xf>
    <xf numFmtId="0" fontId="0" fillId="0" borderId="14" xfId="0" applyBorder="1" applyAlignment="1" applyProtection="1">
      <alignment horizontal="center" vertical="center" wrapText="1"/>
    </xf>
    <xf numFmtId="0" fontId="9" fillId="4" borderId="8" xfId="3" applyFont="1" applyFill="1" applyBorder="1" applyAlignment="1" applyProtection="1">
      <alignment horizontal="left"/>
    </xf>
    <xf numFmtId="0" fontId="12" fillId="4" borderId="8" xfId="3" applyFont="1" applyFill="1" applyBorder="1" applyAlignment="1" applyProtection="1">
      <alignment horizontal="left"/>
    </xf>
    <xf numFmtId="0" fontId="12" fillId="4" borderId="8" xfId="3" applyFont="1" applyFill="1" applyBorder="1" applyAlignment="1">
      <alignment horizontal="left"/>
    </xf>
    <xf numFmtId="0" fontId="12" fillId="4" borderId="11" xfId="3" applyFont="1" applyFill="1" applyBorder="1" applyAlignment="1">
      <alignment horizontal="left"/>
    </xf>
    <xf numFmtId="0" fontId="12" fillId="4" borderId="12" xfId="3" applyFont="1" applyFill="1" applyBorder="1" applyAlignment="1">
      <alignment horizontal="left"/>
    </xf>
    <xf numFmtId="0" fontId="12" fillId="4" borderId="10" xfId="3" applyFont="1" applyFill="1" applyBorder="1" applyAlignment="1">
      <alignment horizontal="left"/>
    </xf>
    <xf numFmtId="49" fontId="0" fillId="0" borderId="11" xfId="0" applyNumberFormat="1" applyBorder="1" applyProtection="1">
      <alignment horizontal="left" vertical="center" wrapText="1" indent="1"/>
      <protection locked="0" hidden="1"/>
    </xf>
    <xf numFmtId="49" fontId="0" fillId="0" borderId="12" xfId="0" applyNumberFormat="1" applyBorder="1" applyProtection="1">
      <alignment horizontal="left" vertical="center" wrapText="1" indent="1"/>
      <protection locked="0" hidden="1"/>
    </xf>
    <xf numFmtId="49" fontId="0" fillId="0" borderId="10" xfId="0" applyNumberFormat="1" applyBorder="1" applyProtection="1">
      <alignment horizontal="left" vertical="center" wrapText="1" indent="1"/>
      <protection locked="0" hidden="1"/>
    </xf>
  </cellXfs>
  <cellStyles count="4">
    <cellStyle name="Accent1" xfId="3" builtinId="29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138022</xdr:colOff>
      <xdr:row>1</xdr:row>
      <xdr:rowOff>69013</xdr:rowOff>
    </xdr:from>
    <xdr:ext cx="947467" cy="1060906"/>
    <xdr:pic>
      <xdr:nvPicPr>
        <xdr:cNvPr id="2" name="Picture 1">
          <a:extLst>
            <a:ext uri="{FF2B5EF4-FFF2-40B4-BE49-F238E27FC236}">
              <a16:creationId xmlns:a16="http://schemas.microsoft.com/office/drawing/2014/main" id="{D538A09C-C30C-4344-AEB1-15A900AFBD1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r="7333"/>
        <a:stretch/>
      </xdr:blipFill>
      <xdr:spPr bwMode="auto">
        <a:xfrm>
          <a:off x="138022" y="251893"/>
          <a:ext cx="947467" cy="10609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0</xdr:col>
      <xdr:colOff>1691640</xdr:colOff>
      <xdr:row>0</xdr:row>
      <xdr:rowOff>11430</xdr:rowOff>
    </xdr:from>
    <xdr:to>
      <xdr:col>3</xdr:col>
      <xdr:colOff>160020</xdr:colOff>
      <xdr:row>5</xdr:row>
      <xdr:rowOff>68579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2D5C1C-0F7F-4F9D-9064-48C9ECF9B926}"/>
            </a:ext>
          </a:extLst>
        </xdr:cNvPr>
        <xdr:cNvSpPr txBox="1"/>
      </xdr:nvSpPr>
      <xdr:spPr>
        <a:xfrm>
          <a:off x="1691640" y="11430"/>
          <a:ext cx="3878580" cy="1017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/>
            <a:t>Town of Apex</a:t>
          </a:r>
        </a:p>
        <a:p>
          <a:pPr algn="ctr"/>
          <a:r>
            <a:rPr lang="en-US" sz="1800"/>
            <a:t>Infrastructure</a:t>
          </a:r>
          <a:r>
            <a:rPr lang="en-US" sz="1800" baseline="0"/>
            <a:t> Bond Worksheet</a:t>
          </a:r>
        </a:p>
        <a:p>
          <a:endParaRPr lang="en-US" sz="1100"/>
        </a:p>
      </xdr:txBody>
    </xdr:sp>
    <xdr:clientData/>
  </xdr:twoCellAnchor>
  <xdr:twoCellAnchor>
    <xdr:from>
      <xdr:col>0</xdr:col>
      <xdr:colOff>215660</xdr:colOff>
      <xdr:row>304</xdr:row>
      <xdr:rowOff>120769</xdr:rowOff>
    </xdr:from>
    <xdr:to>
      <xdr:col>0</xdr:col>
      <xdr:colOff>2268747</xdr:colOff>
      <xdr:row>312</xdr:row>
      <xdr:rowOff>51759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38BBC27-EB48-470A-A718-B287736F8B30}"/>
            </a:ext>
          </a:extLst>
        </xdr:cNvPr>
        <xdr:cNvSpPr txBox="1"/>
      </xdr:nvSpPr>
      <xdr:spPr>
        <a:xfrm>
          <a:off x="215660" y="57545089"/>
          <a:ext cx="399547" cy="139403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155275</xdr:colOff>
      <xdr:row>0</xdr:row>
      <xdr:rowOff>0</xdr:rowOff>
    </xdr:from>
    <xdr:ext cx="947467" cy="1057311"/>
    <xdr:pic>
      <xdr:nvPicPr>
        <xdr:cNvPr id="2" name="Picture 1">
          <a:extLst>
            <a:ext uri="{FF2B5EF4-FFF2-40B4-BE49-F238E27FC236}">
              <a16:creationId xmlns:a16="http://schemas.microsoft.com/office/drawing/2014/main" id="{3527BBCB-72A9-490E-88D0-CA03B33C9E1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r="7333"/>
        <a:stretch/>
      </xdr:blipFill>
      <xdr:spPr bwMode="auto">
        <a:xfrm>
          <a:off x="155275" y="0"/>
          <a:ext cx="947467" cy="10573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0</xdr:col>
      <xdr:colOff>181155</xdr:colOff>
      <xdr:row>62</xdr:row>
      <xdr:rowOff>34505</xdr:rowOff>
    </xdr:from>
    <xdr:to>
      <xdr:col>0</xdr:col>
      <xdr:colOff>2234242</xdr:colOff>
      <xdr:row>72</xdr:row>
      <xdr:rowOff>86264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E47727-100E-4C39-BC85-DD2913DA54AE}"/>
            </a:ext>
          </a:extLst>
        </xdr:cNvPr>
        <xdr:cNvSpPr txBox="1"/>
      </xdr:nvSpPr>
      <xdr:spPr>
        <a:xfrm>
          <a:off x="181155" y="11555945"/>
          <a:ext cx="437647" cy="188055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0</xdr:col>
      <xdr:colOff>1992702</xdr:colOff>
      <xdr:row>0</xdr:row>
      <xdr:rowOff>120769</xdr:rowOff>
    </xdr:from>
    <xdr:to>
      <xdr:col>3</xdr:col>
      <xdr:colOff>250166</xdr:colOff>
      <xdr:row>3</xdr:row>
      <xdr:rowOff>181155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D1A23F-8AB9-4EA4-991E-02A390D33201}"/>
            </a:ext>
          </a:extLst>
        </xdr:cNvPr>
        <xdr:cNvSpPr txBox="1"/>
      </xdr:nvSpPr>
      <xdr:spPr>
        <a:xfrm>
          <a:off x="613482" y="120769"/>
          <a:ext cx="1488344" cy="609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/>
            <a:t>Town of Apex</a:t>
          </a:r>
        </a:p>
        <a:p>
          <a:pPr algn="ctr"/>
          <a:r>
            <a:rPr lang="en-US" sz="1800"/>
            <a:t>Infrastructure</a:t>
          </a:r>
          <a:r>
            <a:rPr lang="en-US" sz="1800" baseline="0"/>
            <a:t> Bond Worksheet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F121-7D5D-4BEC-B289-BAEBACE1AACF}">
  <sheetPr>
    <pageSetUpPr fitToPage="1"/>
  </sheetPr>
  <dimension ref="A1:M313"/>
  <sheetViews>
    <sheetView showGridLines="0" tabSelected="1" view="pageLayout" zoomScaleNormal="100" workbookViewId="0">
      <selection activeCell="B16" sqref="B16"/>
    </sheetView>
  </sheetViews>
  <sheetFormatPr defaultColWidth="9" defaultRowHeight="14.4" x14ac:dyDescent="0.3"/>
  <cols>
    <col min="1" max="1" width="57.109375" customWidth="1"/>
    <col min="2" max="2" width="10.6640625" style="3" customWidth="1"/>
    <col min="3" max="3" width="11.109375" style="3" customWidth="1"/>
    <col min="4" max="4" width="13.44140625" style="2" customWidth="1"/>
    <col min="5" max="5" width="19.88671875" style="1" customWidth="1"/>
    <col min="6" max="6" width="18.109375" customWidth="1"/>
    <col min="7" max="7" width="23.88671875" customWidth="1"/>
    <col min="8" max="8" width="18.88671875" customWidth="1"/>
    <col min="9" max="9" width="18.109375" customWidth="1"/>
    <col min="10" max="10" width="12.44140625" customWidth="1"/>
    <col min="11" max="11" width="10.33203125" customWidth="1"/>
    <col min="12" max="12" width="14.6640625" customWidth="1"/>
    <col min="13" max="13" width="11.88671875" customWidth="1"/>
  </cols>
  <sheetData>
    <row r="1" spans="1:9" ht="21.15" customHeight="1" x14ac:dyDescent="0.3">
      <c r="A1" s="112" t="s">
        <v>0</v>
      </c>
      <c r="D1" s="178" t="s">
        <v>153</v>
      </c>
      <c r="E1" s="178"/>
    </row>
    <row r="2" spans="1:9" ht="16.350000000000001" customHeight="1" x14ac:dyDescent="0.3">
      <c r="D2" s="179" t="s">
        <v>162</v>
      </c>
      <c r="E2" s="179"/>
    </row>
    <row r="3" spans="1:9" ht="15.6" x14ac:dyDescent="0.3">
      <c r="D3" s="179" t="s">
        <v>152</v>
      </c>
      <c r="E3" s="179"/>
    </row>
    <row r="4" spans="1:9" ht="15.6" x14ac:dyDescent="0.3">
      <c r="D4" s="111"/>
      <c r="E4" s="110" t="s">
        <v>193</v>
      </c>
    </row>
    <row r="5" spans="1:9" ht="7.5" customHeight="1" x14ac:dyDescent="0.3"/>
    <row r="6" spans="1:9" ht="7.5" customHeight="1" x14ac:dyDescent="0.3"/>
    <row r="7" spans="1:9" ht="18.45" customHeight="1" x14ac:dyDescent="0.3">
      <c r="A7" s="109" t="s">
        <v>151</v>
      </c>
      <c r="B7" s="180"/>
      <c r="C7" s="181"/>
      <c r="D7" s="181"/>
      <c r="E7" s="182"/>
    </row>
    <row r="8" spans="1:9" ht="18.45" customHeight="1" x14ac:dyDescent="0.3">
      <c r="A8" s="109" t="s">
        <v>150</v>
      </c>
      <c r="B8" s="180"/>
      <c r="C8" s="181"/>
      <c r="D8" s="181"/>
      <c r="E8" s="182"/>
    </row>
    <row r="9" spans="1:9" ht="12.9" customHeight="1" thickBot="1" x14ac:dyDescent="0.35">
      <c r="A9" s="174"/>
      <c r="B9" s="174"/>
      <c r="C9" s="174"/>
      <c r="D9" s="174"/>
      <c r="E9" s="174"/>
    </row>
    <row r="10" spans="1:9" ht="12.15" customHeight="1" thickTop="1" x14ac:dyDescent="0.3">
      <c r="A10" s="108"/>
      <c r="B10" s="108"/>
      <c r="C10" s="108"/>
      <c r="D10" s="108"/>
      <c r="E10" s="107"/>
    </row>
    <row r="11" spans="1:9" ht="20.399999999999999" customHeight="1" x14ac:dyDescent="0.3">
      <c r="A11" s="175" t="s">
        <v>149</v>
      </c>
      <c r="B11" s="175"/>
      <c r="C11" s="175"/>
      <c r="D11" s="175"/>
      <c r="E11" s="175"/>
    </row>
    <row r="12" spans="1:9" ht="8.85" customHeight="1" x14ac:dyDescent="0.3">
      <c r="A12" s="106"/>
      <c r="B12" s="18"/>
      <c r="C12" s="18"/>
      <c r="D12" s="17"/>
      <c r="E12" s="16"/>
    </row>
    <row r="13" spans="1:9" s="105" customFormat="1" ht="18.45" customHeight="1" x14ac:dyDescent="0.35">
      <c r="A13" s="176" t="s">
        <v>148</v>
      </c>
      <c r="B13" s="176"/>
      <c r="C13" s="176"/>
      <c r="D13" s="176"/>
      <c r="E13" s="176"/>
      <c r="F13"/>
      <c r="G13"/>
      <c r="H13"/>
      <c r="I13"/>
    </row>
    <row r="14" spans="1:9" s="105" customFormat="1" ht="18.45" customHeight="1" x14ac:dyDescent="0.3">
      <c r="A14" s="177" t="s">
        <v>147</v>
      </c>
      <c r="B14" s="177"/>
      <c r="C14" s="177"/>
      <c r="D14" s="177"/>
      <c r="E14" s="177"/>
      <c r="F14"/>
      <c r="G14"/>
      <c r="H14"/>
      <c r="I14"/>
    </row>
    <row r="15" spans="1:9" ht="14.25" customHeight="1" x14ac:dyDescent="0.3">
      <c r="A15" s="101" t="s">
        <v>18</v>
      </c>
      <c r="B15" s="100" t="s">
        <v>17</v>
      </c>
      <c r="C15" s="100" t="s">
        <v>16</v>
      </c>
      <c r="D15" s="99" t="s">
        <v>15</v>
      </c>
      <c r="E15" s="98" t="s">
        <v>14</v>
      </c>
    </row>
    <row r="16" spans="1:9" ht="14.25" customHeight="1" x14ac:dyDescent="0.3">
      <c r="A16" s="139" t="s">
        <v>172</v>
      </c>
      <c r="B16" s="140"/>
      <c r="C16" s="155" t="s">
        <v>23</v>
      </c>
      <c r="D16" s="157">
        <v>42</v>
      </c>
      <c r="E16" s="34">
        <f t="shared" ref="E16:E28" si="0">D16*B16</f>
        <v>0</v>
      </c>
    </row>
    <row r="17" spans="1:13" ht="14.25" customHeight="1" x14ac:dyDescent="0.3">
      <c r="A17" s="139" t="s">
        <v>171</v>
      </c>
      <c r="B17" s="140"/>
      <c r="C17" s="155" t="s">
        <v>23</v>
      </c>
      <c r="D17" s="157">
        <v>58.5</v>
      </c>
      <c r="E17" s="34">
        <f t="shared" si="0"/>
        <v>0</v>
      </c>
    </row>
    <row r="18" spans="1:13" ht="14.25" customHeight="1" x14ac:dyDescent="0.3">
      <c r="A18" s="139" t="s">
        <v>166</v>
      </c>
      <c r="B18" s="140"/>
      <c r="C18" s="155" t="s">
        <v>23</v>
      </c>
      <c r="D18" s="157">
        <v>51</v>
      </c>
      <c r="E18" s="34">
        <f t="shared" si="0"/>
        <v>0</v>
      </c>
    </row>
    <row r="19" spans="1:13" ht="14.25" customHeight="1" x14ac:dyDescent="0.3">
      <c r="A19" s="139" t="s">
        <v>170</v>
      </c>
      <c r="B19" s="140"/>
      <c r="C19" s="155" t="s">
        <v>23</v>
      </c>
      <c r="D19" s="157">
        <v>72</v>
      </c>
      <c r="E19" s="34">
        <f t="shared" si="0"/>
        <v>0</v>
      </c>
    </row>
    <row r="20" spans="1:13" ht="14.25" customHeight="1" x14ac:dyDescent="0.3">
      <c r="A20" s="139" t="s">
        <v>125</v>
      </c>
      <c r="B20" s="140"/>
      <c r="C20" s="155" t="s">
        <v>23</v>
      </c>
      <c r="D20" s="157">
        <v>64.5</v>
      </c>
      <c r="E20" s="34">
        <f t="shared" si="0"/>
        <v>0</v>
      </c>
      <c r="G20" s="103"/>
      <c r="H20" s="103"/>
      <c r="I20" s="103"/>
      <c r="J20" s="103"/>
      <c r="K20" s="103"/>
    </row>
    <row r="21" spans="1:13" ht="14.25" customHeight="1" x14ac:dyDescent="0.3">
      <c r="A21" s="139" t="s">
        <v>146</v>
      </c>
      <c r="B21" s="140"/>
      <c r="C21" s="155" t="s">
        <v>23</v>
      </c>
      <c r="D21" s="157">
        <v>90</v>
      </c>
      <c r="E21" s="34">
        <f t="shared" si="0"/>
        <v>0</v>
      </c>
      <c r="J21" s="102"/>
      <c r="K21" s="102"/>
    </row>
    <row r="22" spans="1:13" ht="14.25" customHeight="1" x14ac:dyDescent="0.3">
      <c r="A22" s="139" t="s">
        <v>124</v>
      </c>
      <c r="B22" s="140"/>
      <c r="C22" s="155" t="s">
        <v>23</v>
      </c>
      <c r="D22" s="157">
        <v>78</v>
      </c>
      <c r="E22" s="34">
        <f t="shared" si="0"/>
        <v>0</v>
      </c>
    </row>
    <row r="23" spans="1:13" ht="14.25" customHeight="1" x14ac:dyDescent="0.3">
      <c r="A23" s="139" t="s">
        <v>145</v>
      </c>
      <c r="B23" s="140"/>
      <c r="C23" s="155" t="s">
        <v>23</v>
      </c>
      <c r="D23" s="157">
        <v>105</v>
      </c>
      <c r="E23" s="34">
        <f t="shared" si="0"/>
        <v>0</v>
      </c>
    </row>
    <row r="24" spans="1:13" ht="14.25" customHeight="1" x14ac:dyDescent="0.3">
      <c r="A24" s="139" t="s">
        <v>123</v>
      </c>
      <c r="B24" s="140"/>
      <c r="C24" s="155" t="s">
        <v>23</v>
      </c>
      <c r="D24" s="157">
        <v>96</v>
      </c>
      <c r="E24" s="34">
        <f t="shared" si="0"/>
        <v>0</v>
      </c>
    </row>
    <row r="25" spans="1:13" ht="14.25" customHeight="1" x14ac:dyDescent="0.3">
      <c r="A25" s="86" t="s">
        <v>144</v>
      </c>
      <c r="B25" s="50"/>
      <c r="C25" s="56" t="s">
        <v>23</v>
      </c>
      <c r="D25" s="157">
        <v>135</v>
      </c>
      <c r="E25" s="34">
        <f t="shared" si="0"/>
        <v>0</v>
      </c>
    </row>
    <row r="26" spans="1:13" ht="14.25" customHeight="1" x14ac:dyDescent="0.3">
      <c r="A26" s="31" t="s">
        <v>9</v>
      </c>
      <c r="B26" s="52"/>
      <c r="C26" s="33"/>
      <c r="D26" s="51"/>
      <c r="E26" s="28">
        <f t="shared" si="0"/>
        <v>0</v>
      </c>
      <c r="G26" s="103"/>
      <c r="H26" s="103"/>
      <c r="I26" s="103"/>
      <c r="J26" s="103"/>
      <c r="K26" s="103"/>
    </row>
    <row r="27" spans="1:13" ht="14.25" customHeight="1" x14ac:dyDescent="0.3">
      <c r="A27" s="31" t="s">
        <v>9</v>
      </c>
      <c r="B27" s="52"/>
      <c r="C27" s="33"/>
      <c r="D27" s="51"/>
      <c r="E27" s="28">
        <f t="shared" si="0"/>
        <v>0</v>
      </c>
      <c r="J27" s="102"/>
      <c r="K27" s="102"/>
    </row>
    <row r="28" spans="1:13" ht="14.25" customHeight="1" x14ac:dyDescent="0.3">
      <c r="A28" s="31" t="s">
        <v>9</v>
      </c>
      <c r="B28" s="52"/>
      <c r="C28" s="33"/>
      <c r="D28" s="51"/>
      <c r="E28" s="28">
        <f t="shared" si="0"/>
        <v>0</v>
      </c>
    </row>
    <row r="29" spans="1:13" ht="14.25" customHeight="1" x14ac:dyDescent="0.3">
      <c r="A29" s="31" t="s">
        <v>9</v>
      </c>
      <c r="B29" s="33"/>
      <c r="C29" s="33"/>
      <c r="D29" s="32"/>
      <c r="E29" s="28">
        <f>D29*B29</f>
        <v>0</v>
      </c>
    </row>
    <row r="30" spans="1:13" s="103" customFormat="1" ht="14.25" customHeight="1" x14ac:dyDescent="0.3">
      <c r="A30" s="94" t="s">
        <v>58</v>
      </c>
      <c r="B30" s="104"/>
      <c r="C30" s="46"/>
      <c r="D30" s="45" t="s">
        <v>20</v>
      </c>
      <c r="E30" s="44">
        <f>SUM(E16:E29)</f>
        <v>0</v>
      </c>
      <c r="F30"/>
      <c r="L30"/>
      <c r="M30"/>
    </row>
    <row r="31" spans="1:13" s="102" customFormat="1" ht="18.45" customHeight="1" x14ac:dyDescent="0.3">
      <c r="A31" s="170" t="s">
        <v>143</v>
      </c>
      <c r="B31" s="170"/>
      <c r="C31" s="170"/>
      <c r="D31" s="170"/>
      <c r="E31" s="171"/>
      <c r="F31"/>
      <c r="G31"/>
      <c r="H31"/>
      <c r="I31"/>
      <c r="L31"/>
      <c r="M31"/>
    </row>
    <row r="32" spans="1:13" ht="14.25" customHeight="1" x14ac:dyDescent="0.3">
      <c r="A32" s="101" t="s">
        <v>18</v>
      </c>
      <c r="B32" s="100" t="s">
        <v>17</v>
      </c>
      <c r="C32" s="100" t="s">
        <v>16</v>
      </c>
      <c r="D32" s="99" t="s">
        <v>15</v>
      </c>
      <c r="E32" s="136" t="s">
        <v>14</v>
      </c>
    </row>
    <row r="33" spans="1:5" ht="13.8" customHeight="1" x14ac:dyDescent="0.3">
      <c r="A33" s="55" t="s">
        <v>169</v>
      </c>
      <c r="B33" s="37"/>
      <c r="C33" s="49" t="s">
        <v>10</v>
      </c>
      <c r="D33" s="157">
        <v>1800</v>
      </c>
      <c r="E33" s="34">
        <f t="shared" ref="E33:E37" si="1">D33*B33</f>
        <v>0</v>
      </c>
    </row>
    <row r="34" spans="1:5" ht="13.8" customHeight="1" x14ac:dyDescent="0.3">
      <c r="A34" s="139" t="s">
        <v>168</v>
      </c>
      <c r="B34" s="140"/>
      <c r="C34" s="141" t="s">
        <v>10</v>
      </c>
      <c r="D34" s="157">
        <v>2400</v>
      </c>
      <c r="E34" s="34">
        <f t="shared" si="1"/>
        <v>0</v>
      </c>
    </row>
    <row r="35" spans="1:5" ht="13.8" customHeight="1" x14ac:dyDescent="0.3">
      <c r="A35" s="86" t="s">
        <v>102</v>
      </c>
      <c r="B35" s="50"/>
      <c r="C35" s="49" t="s">
        <v>10</v>
      </c>
      <c r="D35" s="157">
        <v>3000</v>
      </c>
      <c r="E35" s="34">
        <f t="shared" si="1"/>
        <v>0</v>
      </c>
    </row>
    <row r="36" spans="1:5" ht="13.8" customHeight="1" x14ac:dyDescent="0.3">
      <c r="A36" s="86" t="s">
        <v>101</v>
      </c>
      <c r="B36" s="50"/>
      <c r="C36" s="49" t="s">
        <v>10</v>
      </c>
      <c r="D36" s="157">
        <v>3750</v>
      </c>
      <c r="E36" s="34">
        <f t="shared" si="1"/>
        <v>0</v>
      </c>
    </row>
    <row r="37" spans="1:5" ht="13.8" customHeight="1" x14ac:dyDescent="0.3">
      <c r="A37" s="86" t="s">
        <v>100</v>
      </c>
      <c r="B37" s="50"/>
      <c r="C37" s="49" t="s">
        <v>10</v>
      </c>
      <c r="D37" s="157">
        <v>12750</v>
      </c>
      <c r="E37" s="34">
        <f t="shared" si="1"/>
        <v>0</v>
      </c>
    </row>
    <row r="38" spans="1:5" ht="13.8" customHeight="1" x14ac:dyDescent="0.3">
      <c r="A38" s="135" t="s">
        <v>195</v>
      </c>
      <c r="B38" s="50"/>
      <c r="C38" s="68" t="s">
        <v>10</v>
      </c>
      <c r="D38" s="157">
        <v>6542</v>
      </c>
      <c r="E38" s="34">
        <f t="shared" ref="E38:E43" si="2">D38*B38</f>
        <v>0</v>
      </c>
    </row>
    <row r="39" spans="1:5" ht="13.8" customHeight="1" x14ac:dyDescent="0.3">
      <c r="A39" s="135" t="s">
        <v>196</v>
      </c>
      <c r="B39" s="50"/>
      <c r="C39" s="68" t="s">
        <v>10</v>
      </c>
      <c r="D39" s="157">
        <v>11939</v>
      </c>
      <c r="E39" s="34">
        <f t="shared" si="2"/>
        <v>0</v>
      </c>
    </row>
    <row r="40" spans="1:5" ht="13.8" customHeight="1" x14ac:dyDescent="0.3">
      <c r="A40" s="135" t="s">
        <v>197</v>
      </c>
      <c r="B40" s="50"/>
      <c r="C40" s="68" t="s">
        <v>10</v>
      </c>
      <c r="D40" s="157">
        <v>15538</v>
      </c>
      <c r="E40" s="34">
        <f t="shared" si="2"/>
        <v>0</v>
      </c>
    </row>
    <row r="41" spans="1:5" ht="13.8" customHeight="1" x14ac:dyDescent="0.3">
      <c r="A41" s="135" t="s">
        <v>194</v>
      </c>
      <c r="B41" s="50"/>
      <c r="C41" s="68" t="s">
        <v>10</v>
      </c>
      <c r="D41" s="157">
        <v>19134</v>
      </c>
      <c r="E41" s="34">
        <f t="shared" si="2"/>
        <v>0</v>
      </c>
    </row>
    <row r="42" spans="1:5" ht="13.8" customHeight="1" x14ac:dyDescent="0.3">
      <c r="A42" s="135" t="s">
        <v>198</v>
      </c>
      <c r="B42" s="50"/>
      <c r="C42" s="68" t="s">
        <v>10</v>
      </c>
      <c r="D42" s="157">
        <v>15000</v>
      </c>
      <c r="E42" s="34">
        <f t="shared" si="2"/>
        <v>0</v>
      </c>
    </row>
    <row r="43" spans="1:5" ht="13.8" customHeight="1" x14ac:dyDescent="0.3">
      <c r="A43" s="137" t="s">
        <v>199</v>
      </c>
      <c r="B43" s="50"/>
      <c r="C43" s="68" t="s">
        <v>10</v>
      </c>
      <c r="D43" s="157">
        <v>26331</v>
      </c>
      <c r="E43" s="34">
        <f t="shared" si="2"/>
        <v>0</v>
      </c>
    </row>
    <row r="44" spans="1:5" ht="13.8" customHeight="1" x14ac:dyDescent="0.3">
      <c r="A44" s="31" t="s">
        <v>9</v>
      </c>
      <c r="B44" s="50"/>
      <c r="C44" s="33"/>
      <c r="D44" s="32"/>
      <c r="E44" s="28">
        <f>D44*B44</f>
        <v>0</v>
      </c>
    </row>
    <row r="45" spans="1:5" ht="14.25" customHeight="1" x14ac:dyDescent="0.3">
      <c r="A45" s="31" t="s">
        <v>9</v>
      </c>
      <c r="B45" s="50"/>
      <c r="C45" s="33"/>
      <c r="D45" s="32"/>
      <c r="E45" s="28">
        <f>D45*B45</f>
        <v>0</v>
      </c>
    </row>
    <row r="46" spans="1:5" ht="14.25" customHeight="1" x14ac:dyDescent="0.3">
      <c r="A46" s="48" t="s">
        <v>142</v>
      </c>
      <c r="B46" s="50"/>
      <c r="C46" s="46"/>
      <c r="D46" s="45" t="s">
        <v>20</v>
      </c>
      <c r="E46" s="44">
        <f>SUM(E33:E45)</f>
        <v>0</v>
      </c>
    </row>
    <row r="47" spans="1:5" ht="14.25" customHeight="1" x14ac:dyDescent="0.3">
      <c r="A47" s="172" t="s">
        <v>141</v>
      </c>
      <c r="B47" s="172"/>
      <c r="C47" s="172"/>
      <c r="D47" s="172"/>
      <c r="E47" s="173"/>
    </row>
    <row r="48" spans="1:5" ht="14.25" customHeight="1" x14ac:dyDescent="0.3">
      <c r="A48" s="97" t="s">
        <v>18</v>
      </c>
      <c r="B48" s="96" t="s">
        <v>17</v>
      </c>
      <c r="C48" s="96" t="s">
        <v>16</v>
      </c>
      <c r="D48" s="95" t="s">
        <v>15</v>
      </c>
      <c r="E48" s="138" t="s">
        <v>14</v>
      </c>
    </row>
    <row r="49" spans="1:8" ht="14.25" customHeight="1" x14ac:dyDescent="0.3">
      <c r="A49" s="139" t="s">
        <v>164</v>
      </c>
      <c r="B49" s="140"/>
      <c r="C49" s="141" t="s">
        <v>10</v>
      </c>
      <c r="D49" s="157">
        <v>1521</v>
      </c>
      <c r="E49" s="34">
        <f t="shared" ref="E49:E56" si="3">D49*B49</f>
        <v>0</v>
      </c>
    </row>
    <row r="50" spans="1:8" ht="14.25" customHeight="1" x14ac:dyDescent="0.3">
      <c r="A50" s="139" t="s">
        <v>173</v>
      </c>
      <c r="B50" s="140"/>
      <c r="C50" s="141" t="s">
        <v>10</v>
      </c>
      <c r="D50" s="157">
        <v>1859</v>
      </c>
      <c r="E50" s="34">
        <f t="shared" si="3"/>
        <v>0</v>
      </c>
    </row>
    <row r="51" spans="1:8" ht="14.25" customHeight="1" x14ac:dyDescent="0.3">
      <c r="A51" s="139" t="s">
        <v>140</v>
      </c>
      <c r="B51" s="140"/>
      <c r="C51" s="141" t="s">
        <v>10</v>
      </c>
      <c r="D51" s="157">
        <v>2535</v>
      </c>
      <c r="E51" s="34">
        <f t="shared" si="3"/>
        <v>0</v>
      </c>
    </row>
    <row r="52" spans="1:8" ht="14.25" customHeight="1" x14ac:dyDescent="0.3">
      <c r="A52" s="139" t="s">
        <v>174</v>
      </c>
      <c r="B52" s="140"/>
      <c r="C52" s="141" t="s">
        <v>10</v>
      </c>
      <c r="D52" s="157">
        <v>3380</v>
      </c>
      <c r="E52" s="34">
        <f t="shared" si="3"/>
        <v>0</v>
      </c>
    </row>
    <row r="53" spans="1:8" ht="14.25" customHeight="1" x14ac:dyDescent="0.3">
      <c r="A53" s="139" t="s">
        <v>175</v>
      </c>
      <c r="B53" s="140"/>
      <c r="C53" s="141" t="s">
        <v>10</v>
      </c>
      <c r="D53" s="157">
        <v>5070</v>
      </c>
      <c r="E53" s="34">
        <f t="shared" si="3"/>
        <v>0</v>
      </c>
    </row>
    <row r="54" spans="1:8" ht="14.25" customHeight="1" x14ac:dyDescent="0.3">
      <c r="A54" s="139" t="s">
        <v>176</v>
      </c>
      <c r="B54" s="140"/>
      <c r="C54" s="141" t="s">
        <v>10</v>
      </c>
      <c r="D54" s="157">
        <v>6760</v>
      </c>
      <c r="E54" s="34">
        <f t="shared" si="3"/>
        <v>0</v>
      </c>
    </row>
    <row r="55" spans="1:8" ht="14.25" customHeight="1" x14ac:dyDescent="0.3">
      <c r="A55" s="139" t="s">
        <v>139</v>
      </c>
      <c r="B55" s="140"/>
      <c r="C55" s="141" t="s">
        <v>10</v>
      </c>
      <c r="D55" s="157">
        <v>9295</v>
      </c>
      <c r="E55" s="34">
        <f t="shared" si="3"/>
        <v>0</v>
      </c>
    </row>
    <row r="56" spans="1:8" ht="14.25" customHeight="1" x14ac:dyDescent="0.3">
      <c r="A56" s="135" t="s">
        <v>208</v>
      </c>
      <c r="B56" s="140"/>
      <c r="C56" s="68" t="s">
        <v>10</v>
      </c>
      <c r="D56" s="157">
        <v>600</v>
      </c>
      <c r="E56" s="34">
        <f t="shared" si="3"/>
        <v>0</v>
      </c>
    </row>
    <row r="57" spans="1:8" ht="14.25" customHeight="1" x14ac:dyDescent="0.3">
      <c r="A57" s="139" t="s">
        <v>138</v>
      </c>
      <c r="B57" s="140"/>
      <c r="C57" s="141" t="s">
        <v>10</v>
      </c>
      <c r="D57" s="157">
        <v>5915</v>
      </c>
      <c r="E57" s="34">
        <f t="shared" ref="E57:E68" si="4">D57*B57</f>
        <v>0</v>
      </c>
    </row>
    <row r="58" spans="1:8" ht="14.25" customHeight="1" x14ac:dyDescent="0.3">
      <c r="A58" s="135" t="s">
        <v>165</v>
      </c>
      <c r="B58" s="140"/>
      <c r="C58" s="68" t="s">
        <v>10</v>
      </c>
      <c r="D58" s="157">
        <v>9600</v>
      </c>
      <c r="E58" s="34">
        <f t="shared" si="4"/>
        <v>0</v>
      </c>
    </row>
    <row r="59" spans="1:8" ht="14.25" customHeight="1" x14ac:dyDescent="0.3">
      <c r="A59" s="139" t="s">
        <v>97</v>
      </c>
      <c r="B59" s="140"/>
      <c r="C59" s="141" t="s">
        <v>10</v>
      </c>
      <c r="D59" s="157">
        <v>10140</v>
      </c>
      <c r="E59" s="34">
        <f t="shared" si="4"/>
        <v>0</v>
      </c>
    </row>
    <row r="60" spans="1:8" ht="14.25" customHeight="1" x14ac:dyDescent="0.3">
      <c r="A60" s="139" t="s">
        <v>137</v>
      </c>
      <c r="B60" s="140"/>
      <c r="C60" s="141" t="s">
        <v>10</v>
      </c>
      <c r="D60" s="157">
        <f>ROUND(126.75,0)</f>
        <v>127</v>
      </c>
      <c r="E60" s="34">
        <f t="shared" si="4"/>
        <v>0</v>
      </c>
      <c r="F60" s="134"/>
    </row>
    <row r="61" spans="1:8" ht="13.8" customHeight="1" x14ac:dyDescent="0.3">
      <c r="A61" s="139" t="s">
        <v>136</v>
      </c>
      <c r="B61" s="140"/>
      <c r="C61" s="141" t="s">
        <v>23</v>
      </c>
      <c r="D61" s="157">
        <v>4.2249999999999996</v>
      </c>
      <c r="E61" s="34">
        <f t="shared" si="4"/>
        <v>0</v>
      </c>
      <c r="F61" s="134"/>
      <c r="G61" s="156"/>
    </row>
    <row r="62" spans="1:8" ht="13.8" customHeight="1" x14ac:dyDescent="0.3">
      <c r="A62" s="139" t="s">
        <v>93</v>
      </c>
      <c r="B62" s="140"/>
      <c r="C62" s="141" t="s">
        <v>23</v>
      </c>
      <c r="D62" s="157">
        <f>ROUNDUP(422.5,0)</f>
        <v>423</v>
      </c>
      <c r="E62" s="34">
        <f t="shared" si="4"/>
        <v>0</v>
      </c>
      <c r="F62" s="134"/>
      <c r="G62" s="88"/>
      <c r="H62" s="88"/>
    </row>
    <row r="63" spans="1:8" ht="13.8" customHeight="1" x14ac:dyDescent="0.3">
      <c r="A63" s="86" t="s">
        <v>92</v>
      </c>
      <c r="B63" s="50"/>
      <c r="C63" s="49" t="s">
        <v>23</v>
      </c>
      <c r="D63" s="157">
        <v>507</v>
      </c>
      <c r="E63" s="34">
        <f t="shared" si="4"/>
        <v>0</v>
      </c>
      <c r="F63" s="134"/>
    </row>
    <row r="64" spans="1:8" ht="13.8" customHeight="1" x14ac:dyDescent="0.3">
      <c r="A64" s="86" t="s">
        <v>91</v>
      </c>
      <c r="B64" s="50"/>
      <c r="C64" s="49" t="s">
        <v>23</v>
      </c>
      <c r="D64" s="157">
        <f>ROUNDUP(591.5,0)</f>
        <v>592</v>
      </c>
      <c r="E64" s="34">
        <f t="shared" si="4"/>
        <v>0</v>
      </c>
      <c r="F64" s="134"/>
    </row>
    <row r="65" spans="1:7" s="88" customFormat="1" ht="13.8" customHeight="1" x14ac:dyDescent="0.3">
      <c r="A65" s="86" t="s">
        <v>90</v>
      </c>
      <c r="B65" s="50"/>
      <c r="C65" s="49" t="s">
        <v>23</v>
      </c>
      <c r="D65" s="157">
        <f>ROUNDUP(760.5,0)</f>
        <v>761</v>
      </c>
      <c r="E65" s="34">
        <f t="shared" si="4"/>
        <v>0</v>
      </c>
      <c r="F65" s="134"/>
    </row>
    <row r="66" spans="1:7" ht="13.8" customHeight="1" x14ac:dyDescent="0.3">
      <c r="A66" s="86" t="s">
        <v>89</v>
      </c>
      <c r="B66" s="50"/>
      <c r="C66" s="49" t="s">
        <v>23</v>
      </c>
      <c r="D66" s="157">
        <v>1183</v>
      </c>
      <c r="E66" s="34">
        <f t="shared" si="4"/>
        <v>0</v>
      </c>
      <c r="F66" s="134"/>
    </row>
    <row r="67" spans="1:7" ht="13.8" customHeight="1" x14ac:dyDescent="0.3">
      <c r="A67" s="86" t="s">
        <v>88</v>
      </c>
      <c r="B67" s="50"/>
      <c r="C67" s="49" t="s">
        <v>23</v>
      </c>
      <c r="D67" s="157">
        <v>1521</v>
      </c>
      <c r="E67" s="34">
        <f t="shared" si="4"/>
        <v>0</v>
      </c>
    </row>
    <row r="68" spans="1:7" ht="13.8" customHeight="1" x14ac:dyDescent="0.3">
      <c r="A68" s="86" t="s">
        <v>87</v>
      </c>
      <c r="B68" s="50"/>
      <c r="C68" s="49" t="s">
        <v>23</v>
      </c>
      <c r="D68" s="157">
        <v>2028</v>
      </c>
      <c r="E68" s="34">
        <f t="shared" si="4"/>
        <v>0</v>
      </c>
    </row>
    <row r="69" spans="1:7" ht="13.8" customHeight="1" x14ac:dyDescent="0.3">
      <c r="A69" s="31" t="s">
        <v>9</v>
      </c>
      <c r="B69" s="33"/>
      <c r="C69" s="33"/>
      <c r="D69" s="32"/>
      <c r="E69" s="28">
        <f>D69*B69</f>
        <v>0</v>
      </c>
    </row>
    <row r="70" spans="1:7" ht="14.25" customHeight="1" x14ac:dyDescent="0.3">
      <c r="A70" s="31" t="s">
        <v>9</v>
      </c>
      <c r="B70" s="33"/>
      <c r="C70" s="33"/>
      <c r="D70" s="32"/>
      <c r="E70" s="28">
        <f>D70*B70</f>
        <v>0</v>
      </c>
    </row>
    <row r="71" spans="1:7" ht="14.25" customHeight="1" thickBot="1" x14ac:dyDescent="0.35">
      <c r="A71" s="94" t="s">
        <v>47</v>
      </c>
      <c r="B71" s="93"/>
      <c r="C71" s="93"/>
      <c r="D71" s="161" t="s">
        <v>20</v>
      </c>
      <c r="E71" s="44">
        <f>SUM(E49:E70)</f>
        <v>0</v>
      </c>
    </row>
    <row r="72" spans="1:7" ht="14.25" customHeight="1" thickTop="1" thickBot="1" x14ac:dyDescent="0.35">
      <c r="A72" s="92" t="s">
        <v>7</v>
      </c>
      <c r="B72" s="91"/>
      <c r="C72" s="91"/>
      <c r="D72" s="90"/>
      <c r="E72" s="89">
        <f>E71+E46+E30</f>
        <v>0</v>
      </c>
      <c r="F72" s="134"/>
    </row>
    <row r="73" spans="1:7" ht="14.25" customHeight="1" thickTop="1" x14ac:dyDescent="0.3">
      <c r="F73" s="134"/>
      <c r="G73" s="156"/>
    </row>
    <row r="74" spans="1:7" ht="14.25" customHeight="1" x14ac:dyDescent="0.35">
      <c r="A74" s="153" t="s">
        <v>135</v>
      </c>
      <c r="B74" s="153"/>
      <c r="C74" s="153"/>
      <c r="D74" s="153"/>
      <c r="E74" s="153"/>
      <c r="F74" s="134"/>
    </row>
    <row r="75" spans="1:7" ht="14.25" customHeight="1" x14ac:dyDescent="0.3">
      <c r="A75" s="147" t="s">
        <v>134</v>
      </c>
      <c r="B75" s="147"/>
      <c r="C75" s="147"/>
      <c r="D75" s="147"/>
      <c r="E75" s="147"/>
      <c r="F75" s="134"/>
    </row>
    <row r="76" spans="1:7" ht="14.25" customHeight="1" x14ac:dyDescent="0.3">
      <c r="A76" s="84" t="s">
        <v>18</v>
      </c>
      <c r="B76" s="83" t="s">
        <v>17</v>
      </c>
      <c r="C76" s="83" t="s">
        <v>16</v>
      </c>
      <c r="D76" s="82" t="s">
        <v>15</v>
      </c>
      <c r="E76" s="81" t="s">
        <v>14</v>
      </c>
      <c r="F76" s="134"/>
    </row>
    <row r="77" spans="1:7" ht="14.25" customHeight="1" x14ac:dyDescent="0.3">
      <c r="A77" s="149" t="s">
        <v>111</v>
      </c>
      <c r="B77" s="150"/>
      <c r="C77" s="150"/>
      <c r="D77" s="150"/>
      <c r="E77" s="151"/>
      <c r="F77" s="134"/>
    </row>
    <row r="78" spans="1:7" ht="13.8" customHeight="1" x14ac:dyDescent="0.3">
      <c r="A78" s="139" t="s">
        <v>167</v>
      </c>
      <c r="B78" s="140"/>
      <c r="C78" s="141" t="s">
        <v>23</v>
      </c>
      <c r="D78" s="157">
        <f>ROUNDUP(56.16,1)</f>
        <v>56.2</v>
      </c>
      <c r="E78" s="34">
        <f t="shared" ref="E78:E83" si="5">D78*B78</f>
        <v>0</v>
      </c>
    </row>
    <row r="79" spans="1:7" ht="14.25" customHeight="1" x14ac:dyDescent="0.3">
      <c r="A79" s="139" t="s">
        <v>133</v>
      </c>
      <c r="B79" s="140"/>
      <c r="C79" s="141" t="s">
        <v>23</v>
      </c>
      <c r="D79" s="157">
        <v>62.400000000000006</v>
      </c>
      <c r="E79" s="34">
        <f t="shared" si="5"/>
        <v>0</v>
      </c>
    </row>
    <row r="80" spans="1:7" ht="14.25" customHeight="1" x14ac:dyDescent="0.3">
      <c r="A80" s="139" t="s">
        <v>132</v>
      </c>
      <c r="B80" s="140"/>
      <c r="C80" s="141" t="s">
        <v>23</v>
      </c>
      <c r="D80" s="157">
        <f>ROUNDUP(81.12,1)</f>
        <v>81.199999999999989</v>
      </c>
      <c r="E80" s="34">
        <f t="shared" si="5"/>
        <v>0</v>
      </c>
      <c r="F80" s="134"/>
    </row>
    <row r="81" spans="1:6" ht="14.25" customHeight="1" x14ac:dyDescent="0.3">
      <c r="A81" s="86" t="s">
        <v>131</v>
      </c>
      <c r="B81" s="37"/>
      <c r="C81" s="49" t="s">
        <v>23</v>
      </c>
      <c r="D81" s="157">
        <f>ROUNDDOWN(106.08,0)</f>
        <v>106</v>
      </c>
      <c r="E81" s="34">
        <f t="shared" si="5"/>
        <v>0</v>
      </c>
      <c r="F81" s="134"/>
    </row>
    <row r="82" spans="1:6" ht="14.25" customHeight="1" x14ac:dyDescent="0.3">
      <c r="A82" s="31" t="s">
        <v>9</v>
      </c>
      <c r="B82" s="52"/>
      <c r="C82" s="52"/>
      <c r="D82" s="51"/>
      <c r="E82" s="28">
        <f t="shared" si="5"/>
        <v>0</v>
      </c>
      <c r="F82" s="134"/>
    </row>
    <row r="83" spans="1:6" ht="14.25" customHeight="1" x14ac:dyDescent="0.3">
      <c r="A83" s="31" t="s">
        <v>9</v>
      </c>
      <c r="B83" s="52"/>
      <c r="C83" s="52"/>
      <c r="D83" s="51"/>
      <c r="E83" s="28">
        <f t="shared" si="5"/>
        <v>0</v>
      </c>
    </row>
    <row r="84" spans="1:6" ht="14.25" customHeight="1" x14ac:dyDescent="0.3">
      <c r="A84" s="149" t="s">
        <v>128</v>
      </c>
      <c r="B84" s="150"/>
      <c r="C84" s="150"/>
      <c r="D84" s="150"/>
      <c r="E84" s="151"/>
    </row>
    <row r="85" spans="1:6" ht="14.25" customHeight="1" x14ac:dyDescent="0.3">
      <c r="A85" s="139" t="s">
        <v>167</v>
      </c>
      <c r="B85" s="140"/>
      <c r="C85" s="141" t="s">
        <v>23</v>
      </c>
      <c r="D85" s="157">
        <f>ROUNDUP(73.32,1)</f>
        <v>73.399999999999991</v>
      </c>
      <c r="E85" s="34">
        <f t="shared" ref="E85:E90" si="6">D85*B85</f>
        <v>0</v>
      </c>
      <c r="F85" s="134"/>
    </row>
    <row r="86" spans="1:6" ht="14.25" customHeight="1" x14ac:dyDescent="0.3">
      <c r="A86" s="55" t="s">
        <v>133</v>
      </c>
      <c r="B86" s="37"/>
      <c r="C86" s="36" t="s">
        <v>23</v>
      </c>
      <c r="D86" s="157">
        <f>ROUNDUP(81.12,1)</f>
        <v>81.199999999999989</v>
      </c>
      <c r="E86" s="34">
        <f t="shared" si="6"/>
        <v>0</v>
      </c>
      <c r="F86" s="134"/>
    </row>
    <row r="87" spans="1:6" ht="14.25" customHeight="1" x14ac:dyDescent="0.3">
      <c r="A87" s="55" t="s">
        <v>132</v>
      </c>
      <c r="B87" s="37"/>
      <c r="C87" s="36" t="s">
        <v>23</v>
      </c>
      <c r="D87" s="157">
        <f>ROUNDDOWN(106.08,0)</f>
        <v>106</v>
      </c>
      <c r="E87" s="34">
        <f t="shared" si="6"/>
        <v>0</v>
      </c>
      <c r="F87" s="134"/>
    </row>
    <row r="88" spans="1:6" ht="14.25" customHeight="1" x14ac:dyDescent="0.3">
      <c r="A88" s="86" t="s">
        <v>131</v>
      </c>
      <c r="B88" s="50"/>
      <c r="C88" s="36" t="s">
        <v>23</v>
      </c>
      <c r="D88" s="157">
        <f>ROUNDDOWN(148.2,0)</f>
        <v>148</v>
      </c>
      <c r="E88" s="34">
        <f t="shared" si="6"/>
        <v>0</v>
      </c>
      <c r="F88" s="134"/>
    </row>
    <row r="89" spans="1:6" ht="14.25" customHeight="1" x14ac:dyDescent="0.3">
      <c r="A89" s="31" t="s">
        <v>9</v>
      </c>
      <c r="B89" s="52"/>
      <c r="C89" s="52"/>
      <c r="D89" s="51"/>
      <c r="E89" s="28">
        <f t="shared" si="6"/>
        <v>0</v>
      </c>
      <c r="F89" s="134"/>
    </row>
    <row r="90" spans="1:6" ht="14.25" customHeight="1" x14ac:dyDescent="0.3">
      <c r="A90" s="31" t="s">
        <v>9</v>
      </c>
      <c r="B90" s="52"/>
      <c r="C90" s="52"/>
      <c r="D90" s="51"/>
      <c r="E90" s="28">
        <f t="shared" si="6"/>
        <v>0</v>
      </c>
      <c r="F90" s="134"/>
    </row>
    <row r="91" spans="1:6" ht="14.25" customHeight="1" x14ac:dyDescent="0.3">
      <c r="A91" s="87" t="s">
        <v>130</v>
      </c>
      <c r="B91" s="46"/>
      <c r="C91" s="46"/>
      <c r="D91" s="45" t="s">
        <v>20</v>
      </c>
      <c r="E91" s="44">
        <f>SUM(E78:E90)</f>
        <v>0</v>
      </c>
    </row>
    <row r="92" spans="1:6" ht="14.25" customHeight="1" x14ac:dyDescent="0.3">
      <c r="A92" s="147" t="s">
        <v>129</v>
      </c>
      <c r="B92" s="147"/>
      <c r="C92" s="147"/>
      <c r="D92" s="147"/>
      <c r="E92" s="147"/>
    </row>
    <row r="93" spans="1:6" ht="14.25" customHeight="1" x14ac:dyDescent="0.3">
      <c r="A93" s="84" t="s">
        <v>18</v>
      </c>
      <c r="B93" s="83" t="s">
        <v>17</v>
      </c>
      <c r="C93" s="83" t="s">
        <v>16</v>
      </c>
      <c r="D93" s="82" t="s">
        <v>15</v>
      </c>
      <c r="E93" s="81" t="s">
        <v>14</v>
      </c>
      <c r="F93" s="134"/>
    </row>
    <row r="94" spans="1:6" ht="14.25" customHeight="1" x14ac:dyDescent="0.3">
      <c r="A94" s="149" t="s">
        <v>111</v>
      </c>
      <c r="B94" s="150"/>
      <c r="C94" s="150"/>
      <c r="D94" s="150"/>
      <c r="E94" s="151"/>
      <c r="F94" s="134"/>
    </row>
    <row r="95" spans="1:6" ht="14.25" customHeight="1" x14ac:dyDescent="0.3">
      <c r="A95" s="139" t="s">
        <v>166</v>
      </c>
      <c r="B95" s="140"/>
      <c r="C95" s="141" t="s">
        <v>23</v>
      </c>
      <c r="D95" s="157">
        <f>ROUNDUP(110.72,0)</f>
        <v>111</v>
      </c>
      <c r="E95" s="34">
        <f t="shared" ref="E95:E102" si="7">D95*B95</f>
        <v>0</v>
      </c>
      <c r="F95" s="134"/>
    </row>
    <row r="96" spans="1:6" ht="14.25" customHeight="1" x14ac:dyDescent="0.3">
      <c r="A96" s="139" t="s">
        <v>125</v>
      </c>
      <c r="B96" s="140"/>
      <c r="C96" s="141" t="s">
        <v>23</v>
      </c>
      <c r="D96" s="157">
        <f>ROUNDDOWN(147.05,0)</f>
        <v>147</v>
      </c>
      <c r="E96" s="34">
        <f t="shared" si="7"/>
        <v>0</v>
      </c>
      <c r="F96" s="134"/>
    </row>
    <row r="97" spans="1:8" ht="14.25" customHeight="1" x14ac:dyDescent="0.3">
      <c r="A97" s="139" t="s">
        <v>124</v>
      </c>
      <c r="B97" s="140"/>
      <c r="C97" s="141" t="s">
        <v>23</v>
      </c>
      <c r="D97" s="157">
        <f>ROUNDUP(176.46,0)</f>
        <v>177</v>
      </c>
      <c r="E97" s="34">
        <f t="shared" si="7"/>
        <v>0</v>
      </c>
      <c r="F97" s="142"/>
      <c r="H97" s="142"/>
    </row>
    <row r="98" spans="1:8" ht="14.25" customHeight="1" x14ac:dyDescent="0.3">
      <c r="A98" s="139" t="s">
        <v>123</v>
      </c>
      <c r="B98" s="140"/>
      <c r="C98" s="141" t="s">
        <v>23</v>
      </c>
      <c r="D98" s="157">
        <f>ROUNDUP(193.76,0)</f>
        <v>194</v>
      </c>
      <c r="E98" s="34">
        <f t="shared" si="7"/>
        <v>0</v>
      </c>
      <c r="F98" s="142"/>
      <c r="G98" s="142"/>
      <c r="H98" s="142"/>
    </row>
    <row r="99" spans="1:8" ht="14.25" customHeight="1" x14ac:dyDescent="0.3">
      <c r="A99" s="139" t="s">
        <v>122</v>
      </c>
      <c r="B99" s="140"/>
      <c r="C99" s="141" t="s">
        <v>23</v>
      </c>
      <c r="D99" s="157">
        <f>ROUNDDOWN(204.14,0)</f>
        <v>204</v>
      </c>
      <c r="E99" s="34">
        <f t="shared" si="7"/>
        <v>0</v>
      </c>
      <c r="F99" s="134"/>
      <c r="G99" s="88"/>
      <c r="H99" s="88"/>
    </row>
    <row r="100" spans="1:8" ht="14.25" customHeight="1" x14ac:dyDescent="0.3">
      <c r="A100" s="139" t="s">
        <v>121</v>
      </c>
      <c r="B100" s="140"/>
      <c r="C100" s="141" t="s">
        <v>23</v>
      </c>
      <c r="D100" s="157">
        <f>ROUNDUP(214.52,0)</f>
        <v>215</v>
      </c>
      <c r="E100" s="34">
        <f t="shared" si="7"/>
        <v>0</v>
      </c>
      <c r="F100" s="134"/>
    </row>
    <row r="101" spans="1:8" ht="14.25" customHeight="1" x14ac:dyDescent="0.3">
      <c r="A101" s="139" t="s">
        <v>120</v>
      </c>
      <c r="B101" s="140"/>
      <c r="C101" s="141" t="s">
        <v>23</v>
      </c>
      <c r="D101" s="157">
        <f>ROUNDUP(224.9,0)</f>
        <v>225</v>
      </c>
      <c r="E101" s="34">
        <f t="shared" si="7"/>
        <v>0</v>
      </c>
      <c r="F101" s="134"/>
      <c r="G101" s="88"/>
      <c r="H101" s="88"/>
    </row>
    <row r="102" spans="1:8" ht="14.25" customHeight="1" x14ac:dyDescent="0.3">
      <c r="A102" s="31" t="s">
        <v>9</v>
      </c>
      <c r="B102" s="52"/>
      <c r="C102" s="52"/>
      <c r="D102" s="51"/>
      <c r="E102" s="28">
        <f t="shared" si="7"/>
        <v>0</v>
      </c>
      <c r="F102" s="134"/>
    </row>
    <row r="103" spans="1:8" ht="14.25" customHeight="1" x14ac:dyDescent="0.3">
      <c r="A103" s="149" t="s">
        <v>128</v>
      </c>
      <c r="B103" s="150"/>
      <c r="C103" s="150"/>
      <c r="D103" s="150"/>
      <c r="E103" s="151"/>
      <c r="F103" s="134"/>
      <c r="G103" s="156"/>
    </row>
    <row r="104" spans="1:8" ht="14.25" customHeight="1" x14ac:dyDescent="0.3">
      <c r="A104" s="139" t="s">
        <v>166</v>
      </c>
      <c r="B104" s="140"/>
      <c r="C104" s="141" t="s">
        <v>23</v>
      </c>
      <c r="D104" s="157">
        <f>ROUNDUP(131.48,0)</f>
        <v>132</v>
      </c>
      <c r="E104" s="34">
        <f t="shared" ref="E104:E111" si="8">D104*B104</f>
        <v>0</v>
      </c>
      <c r="F104" s="134"/>
      <c r="G104" s="88"/>
      <c r="H104" s="88"/>
    </row>
    <row r="105" spans="1:8" ht="14.25" customHeight="1" x14ac:dyDescent="0.3">
      <c r="A105" s="139" t="s">
        <v>125</v>
      </c>
      <c r="B105" s="140"/>
      <c r="C105" s="141" t="s">
        <v>23</v>
      </c>
      <c r="D105" s="157">
        <v>171</v>
      </c>
      <c r="E105" s="34">
        <f t="shared" si="8"/>
        <v>0</v>
      </c>
      <c r="F105" s="134"/>
    </row>
    <row r="106" spans="1:8" ht="14.25" customHeight="1" x14ac:dyDescent="0.3">
      <c r="A106" s="86" t="s">
        <v>124</v>
      </c>
      <c r="B106" s="50"/>
      <c r="C106" s="36" t="s">
        <v>23</v>
      </c>
      <c r="D106" s="157">
        <f>ROUNDUP(200.68,0)</f>
        <v>201</v>
      </c>
      <c r="E106" s="34">
        <f t="shared" si="8"/>
        <v>0</v>
      </c>
      <c r="F106" s="142"/>
      <c r="H106" s="142"/>
    </row>
    <row r="107" spans="1:8" ht="14.25" customHeight="1" x14ac:dyDescent="0.3">
      <c r="A107" s="86" t="s">
        <v>123</v>
      </c>
      <c r="B107" s="50"/>
      <c r="C107" s="36" t="s">
        <v>23</v>
      </c>
      <c r="D107" s="157">
        <f>ROUNDDOWN(237.01,0)</f>
        <v>237</v>
      </c>
      <c r="E107" s="34">
        <f t="shared" si="8"/>
        <v>0</v>
      </c>
      <c r="F107" s="142"/>
      <c r="G107" s="142"/>
      <c r="H107" s="142"/>
    </row>
    <row r="108" spans="1:8" ht="14.25" customHeight="1" x14ac:dyDescent="0.3">
      <c r="A108" s="86" t="s">
        <v>122</v>
      </c>
      <c r="B108" s="50"/>
      <c r="C108" s="36" t="s">
        <v>23</v>
      </c>
      <c r="D108" s="157">
        <f>ROUNDDOWN(256.04,0)</f>
        <v>256</v>
      </c>
      <c r="E108" s="34">
        <f t="shared" si="8"/>
        <v>0</v>
      </c>
      <c r="F108" s="134"/>
      <c r="G108" s="88"/>
      <c r="H108" s="88"/>
    </row>
    <row r="109" spans="1:8" ht="14.25" customHeight="1" x14ac:dyDescent="0.3">
      <c r="A109" s="86" t="s">
        <v>121</v>
      </c>
      <c r="B109" s="50"/>
      <c r="C109" s="36" t="s">
        <v>23</v>
      </c>
      <c r="D109" s="157">
        <f>ROUNDDOWN(275.07,0)</f>
        <v>275</v>
      </c>
      <c r="E109" s="34">
        <f t="shared" si="8"/>
        <v>0</v>
      </c>
      <c r="F109" s="134"/>
    </row>
    <row r="110" spans="1:8" ht="14.25" customHeight="1" x14ac:dyDescent="0.3">
      <c r="A110" s="86" t="s">
        <v>120</v>
      </c>
      <c r="B110" s="50"/>
      <c r="C110" s="36" t="s">
        <v>23</v>
      </c>
      <c r="D110" s="157">
        <f>ROUNDDOWN(294.1,0)</f>
        <v>294</v>
      </c>
      <c r="E110" s="34">
        <f t="shared" si="8"/>
        <v>0</v>
      </c>
      <c r="F110" s="134"/>
      <c r="G110" s="88"/>
      <c r="H110" s="88"/>
    </row>
    <row r="111" spans="1:8" ht="14.25" customHeight="1" x14ac:dyDescent="0.3">
      <c r="A111" s="135" t="s">
        <v>163</v>
      </c>
      <c r="B111" s="50"/>
      <c r="C111" s="68" t="s">
        <v>23</v>
      </c>
      <c r="D111" s="157">
        <v>334</v>
      </c>
      <c r="E111" s="34">
        <f t="shared" si="8"/>
        <v>0</v>
      </c>
      <c r="F111" s="134"/>
    </row>
    <row r="112" spans="1:8" ht="14.25" customHeight="1" x14ac:dyDescent="0.3">
      <c r="A112" s="149" t="s">
        <v>127</v>
      </c>
      <c r="B112" s="150"/>
      <c r="C112" s="150"/>
      <c r="D112" s="150"/>
      <c r="E112" s="151"/>
      <c r="F112" s="134"/>
      <c r="G112" s="156"/>
    </row>
    <row r="113" spans="1:8" ht="14.25" customHeight="1" x14ac:dyDescent="0.3">
      <c r="A113" s="139" t="s">
        <v>166</v>
      </c>
      <c r="B113" s="140"/>
      <c r="C113" s="141" t="s">
        <v>23</v>
      </c>
      <c r="D113" s="157">
        <f>ROUNDDOWN(166.08,0)</f>
        <v>166</v>
      </c>
      <c r="E113" s="34">
        <f t="shared" ref="E113:E120" si="9">D113*B113</f>
        <v>0</v>
      </c>
      <c r="F113" s="134"/>
      <c r="G113" s="88"/>
      <c r="H113" s="88"/>
    </row>
    <row r="114" spans="1:8" ht="14.25" customHeight="1" x14ac:dyDescent="0.3">
      <c r="A114" s="139" t="s">
        <v>125</v>
      </c>
      <c r="B114" s="140"/>
      <c r="C114" s="141" t="s">
        <v>23</v>
      </c>
      <c r="D114" s="157">
        <f>ROUNDDOWN(190.3,0)</f>
        <v>190</v>
      </c>
      <c r="E114" s="34">
        <f t="shared" si="9"/>
        <v>0</v>
      </c>
      <c r="F114" s="134"/>
    </row>
    <row r="115" spans="1:8" ht="14.25" customHeight="1" x14ac:dyDescent="0.3">
      <c r="A115" s="139" t="s">
        <v>124</v>
      </c>
      <c r="B115" s="140"/>
      <c r="C115" s="141" t="s">
        <v>23</v>
      </c>
      <c r="D115" s="157">
        <f>ROUNDDOWN(242.2,0)</f>
        <v>242</v>
      </c>
      <c r="E115" s="34">
        <f t="shared" si="9"/>
        <v>0</v>
      </c>
      <c r="F115" s="142"/>
      <c r="H115" s="142"/>
    </row>
    <row r="116" spans="1:8" ht="14.25" customHeight="1" x14ac:dyDescent="0.3">
      <c r="A116" s="139" t="s">
        <v>123</v>
      </c>
      <c r="B116" s="140"/>
      <c r="C116" s="141" t="s">
        <v>23</v>
      </c>
      <c r="D116" s="157">
        <f>ROUNDUP(285.45,0)</f>
        <v>286</v>
      </c>
      <c r="E116" s="34">
        <f t="shared" si="9"/>
        <v>0</v>
      </c>
      <c r="F116" s="134"/>
    </row>
    <row r="117" spans="1:8" ht="13.5" customHeight="1" x14ac:dyDescent="0.3">
      <c r="A117" s="139" t="s">
        <v>122</v>
      </c>
      <c r="B117" s="140"/>
      <c r="C117" s="141" t="s">
        <v>23</v>
      </c>
      <c r="D117" s="157">
        <f>ROUNDUP(302.75,0)</f>
        <v>303</v>
      </c>
      <c r="E117" s="34">
        <f t="shared" si="9"/>
        <v>0</v>
      </c>
      <c r="F117" s="134"/>
      <c r="G117" s="88"/>
      <c r="H117" s="88"/>
    </row>
    <row r="118" spans="1:8" ht="14.25" customHeight="1" x14ac:dyDescent="0.3">
      <c r="A118" s="139" t="s">
        <v>121</v>
      </c>
      <c r="B118" s="140"/>
      <c r="C118" s="141" t="s">
        <v>23</v>
      </c>
      <c r="D118" s="157">
        <f>ROUNDUP(328.7,0)</f>
        <v>329</v>
      </c>
      <c r="E118" s="34">
        <f t="shared" si="9"/>
        <v>0</v>
      </c>
      <c r="F118" s="134"/>
    </row>
    <row r="119" spans="1:8" ht="14.25" customHeight="1" x14ac:dyDescent="0.3">
      <c r="A119" s="139" t="s">
        <v>120</v>
      </c>
      <c r="B119" s="140"/>
      <c r="C119" s="141" t="s">
        <v>23</v>
      </c>
      <c r="D119" s="157">
        <f>ROUNDUP(380.6,0)</f>
        <v>381</v>
      </c>
      <c r="E119" s="34">
        <f t="shared" si="9"/>
        <v>0</v>
      </c>
      <c r="F119" s="134"/>
      <c r="G119" s="164"/>
    </row>
    <row r="120" spans="1:8" ht="14.25" customHeight="1" x14ac:dyDescent="0.3">
      <c r="A120" s="135" t="s">
        <v>163</v>
      </c>
      <c r="B120" s="140"/>
      <c r="C120" s="68" t="s">
        <v>23</v>
      </c>
      <c r="D120" s="157">
        <v>430</v>
      </c>
      <c r="E120" s="34">
        <f t="shared" si="9"/>
        <v>0</v>
      </c>
      <c r="F120" s="134"/>
      <c r="G120" s="88"/>
      <c r="H120" s="88"/>
    </row>
    <row r="121" spans="1:8" ht="14.25" customHeight="1" x14ac:dyDescent="0.3">
      <c r="A121" s="149" t="s">
        <v>126</v>
      </c>
      <c r="B121" s="150"/>
      <c r="C121" s="150"/>
      <c r="D121" s="150"/>
      <c r="E121" s="151"/>
      <c r="F121" s="134"/>
      <c r="G121" s="88"/>
      <c r="H121" s="88"/>
    </row>
    <row r="122" spans="1:8" ht="14.25" customHeight="1" x14ac:dyDescent="0.3">
      <c r="A122" s="139" t="s">
        <v>166</v>
      </c>
      <c r="B122" s="140"/>
      <c r="C122" s="141" t="s">
        <v>23</v>
      </c>
      <c r="D122" s="157">
        <f>ROUNDUP(224.9,0)</f>
        <v>225</v>
      </c>
      <c r="E122" s="34">
        <f t="shared" ref="E122:E129" si="10">D122*B122</f>
        <v>0</v>
      </c>
      <c r="F122" s="134"/>
    </row>
    <row r="123" spans="1:8" ht="14.25" customHeight="1" x14ac:dyDescent="0.3">
      <c r="A123" s="86" t="s">
        <v>125</v>
      </c>
      <c r="B123" s="37"/>
      <c r="C123" s="36" t="s">
        <v>23</v>
      </c>
      <c r="D123" s="157">
        <f>ROUNDUP(259.5,0)</f>
        <v>260</v>
      </c>
      <c r="E123" s="34">
        <f t="shared" si="10"/>
        <v>0</v>
      </c>
      <c r="F123" s="134"/>
      <c r="G123" s="156"/>
    </row>
    <row r="124" spans="1:8" ht="14.25" customHeight="1" x14ac:dyDescent="0.3">
      <c r="A124" s="86" t="s">
        <v>124</v>
      </c>
      <c r="B124" s="37"/>
      <c r="C124" s="36" t="s">
        <v>23</v>
      </c>
      <c r="D124" s="157">
        <f>ROUNDUP(328.7,0)</f>
        <v>329</v>
      </c>
      <c r="E124" s="34">
        <f t="shared" si="10"/>
        <v>0</v>
      </c>
      <c r="F124" s="134"/>
      <c r="G124" s="88"/>
      <c r="H124" s="88"/>
    </row>
    <row r="125" spans="1:8" ht="14.25" customHeight="1" x14ac:dyDescent="0.3">
      <c r="A125" s="86" t="s">
        <v>123</v>
      </c>
      <c r="B125" s="37"/>
      <c r="C125" s="36" t="s">
        <v>23</v>
      </c>
      <c r="D125" s="157">
        <f>ROUNDDOWN(389.25,0)</f>
        <v>389</v>
      </c>
      <c r="E125" s="34">
        <f t="shared" si="10"/>
        <v>0</v>
      </c>
      <c r="F125" s="134"/>
    </row>
    <row r="126" spans="1:8" ht="14.25" customHeight="1" x14ac:dyDescent="0.3">
      <c r="A126" s="86" t="s">
        <v>122</v>
      </c>
      <c r="B126" s="37"/>
      <c r="C126" s="36" t="s">
        <v>23</v>
      </c>
      <c r="D126" s="157">
        <f>ROUNDUP(458.45,0)</f>
        <v>459</v>
      </c>
      <c r="E126" s="34">
        <f t="shared" si="10"/>
        <v>0</v>
      </c>
      <c r="F126" s="142"/>
      <c r="H126" s="142"/>
    </row>
    <row r="127" spans="1:8" ht="14.25" customHeight="1" x14ac:dyDescent="0.3">
      <c r="A127" s="86" t="s">
        <v>121</v>
      </c>
      <c r="B127" s="37"/>
      <c r="C127" s="36" t="s">
        <v>23</v>
      </c>
      <c r="D127" s="157">
        <f>ROUNDDOWN(484.4,0)</f>
        <v>484</v>
      </c>
      <c r="E127" s="34">
        <f t="shared" si="10"/>
        <v>0</v>
      </c>
      <c r="F127" s="134"/>
    </row>
    <row r="128" spans="1:8" ht="14.25" customHeight="1" x14ac:dyDescent="0.3">
      <c r="A128" s="86" t="s">
        <v>120</v>
      </c>
      <c r="B128" s="37"/>
      <c r="C128" s="36" t="s">
        <v>23</v>
      </c>
      <c r="D128" s="157">
        <f>ROUNDDOWN(536.3,0)</f>
        <v>536</v>
      </c>
      <c r="E128" s="34">
        <f t="shared" si="10"/>
        <v>0</v>
      </c>
      <c r="F128" s="134"/>
    </row>
    <row r="129" spans="1:8" ht="13.8" customHeight="1" x14ac:dyDescent="0.3">
      <c r="A129" s="31" t="s">
        <v>9</v>
      </c>
      <c r="B129" s="52"/>
      <c r="C129" s="52"/>
      <c r="D129" s="51"/>
      <c r="E129" s="28">
        <f t="shared" si="10"/>
        <v>0</v>
      </c>
      <c r="F129" s="134"/>
    </row>
    <row r="130" spans="1:8" ht="14.25" customHeight="1" x14ac:dyDescent="0.3">
      <c r="A130" s="48" t="s">
        <v>119</v>
      </c>
      <c r="B130" s="47"/>
      <c r="C130" s="47"/>
      <c r="D130" s="85" t="s">
        <v>20</v>
      </c>
      <c r="E130" s="44">
        <f>SUM(E95:E129)</f>
        <v>0</v>
      </c>
      <c r="F130" s="134"/>
    </row>
    <row r="131" spans="1:8" ht="14.25" customHeight="1" x14ac:dyDescent="0.3">
      <c r="A131" s="147" t="s">
        <v>118</v>
      </c>
      <c r="B131" s="147"/>
      <c r="C131" s="147"/>
      <c r="D131" s="147"/>
      <c r="E131" s="147"/>
      <c r="F131" s="134"/>
      <c r="G131" s="156"/>
    </row>
    <row r="132" spans="1:8" ht="14.25" customHeight="1" x14ac:dyDescent="0.3">
      <c r="A132" s="84" t="s">
        <v>18</v>
      </c>
      <c r="B132" s="83" t="s">
        <v>17</v>
      </c>
      <c r="C132" s="83" t="s">
        <v>16</v>
      </c>
      <c r="D132" s="82" t="s">
        <v>15</v>
      </c>
      <c r="E132" s="81" t="s">
        <v>14</v>
      </c>
      <c r="F132" s="134"/>
      <c r="G132" s="88"/>
      <c r="H132" s="88"/>
    </row>
    <row r="133" spans="1:8" ht="14.25" customHeight="1" x14ac:dyDescent="0.3">
      <c r="A133" s="149" t="s">
        <v>117</v>
      </c>
      <c r="B133" s="150"/>
      <c r="C133" s="150"/>
      <c r="D133" s="150"/>
      <c r="E133" s="151"/>
      <c r="F133" s="134"/>
    </row>
    <row r="134" spans="1:8" ht="13.8" customHeight="1" x14ac:dyDescent="0.3">
      <c r="A134" s="139" t="s">
        <v>177</v>
      </c>
      <c r="B134" s="140"/>
      <c r="C134" s="141" t="s">
        <v>23</v>
      </c>
      <c r="D134" s="157">
        <v>108.60000000000001</v>
      </c>
      <c r="E134" s="34">
        <f t="shared" ref="E134:E141" si="11">D134*B134</f>
        <v>0</v>
      </c>
      <c r="F134" s="142"/>
      <c r="H134" s="142"/>
    </row>
    <row r="135" spans="1:8" ht="13.8" customHeight="1" x14ac:dyDescent="0.3">
      <c r="A135" s="139" t="s">
        <v>108</v>
      </c>
      <c r="B135" s="140"/>
      <c r="C135" s="141" t="s">
        <v>23</v>
      </c>
      <c r="D135" s="157">
        <f>ROUNDUP(135.75,0)</f>
        <v>136</v>
      </c>
      <c r="E135" s="34">
        <f t="shared" si="11"/>
        <v>0</v>
      </c>
      <c r="F135" s="134"/>
    </row>
    <row r="136" spans="1:8" ht="13.8" customHeight="1" x14ac:dyDescent="0.3">
      <c r="A136" s="139" t="s">
        <v>106</v>
      </c>
      <c r="B136" s="140"/>
      <c r="C136" s="141" t="s">
        <v>23</v>
      </c>
      <c r="D136" s="157">
        <f>ROUNDUP(162.9,0)</f>
        <v>163</v>
      </c>
      <c r="E136" s="34">
        <f t="shared" si="11"/>
        <v>0</v>
      </c>
      <c r="F136" s="134"/>
    </row>
    <row r="137" spans="1:8" ht="13.8" customHeight="1" x14ac:dyDescent="0.3">
      <c r="A137" s="139" t="s">
        <v>104</v>
      </c>
      <c r="B137" s="140"/>
      <c r="C137" s="141" t="s">
        <v>23</v>
      </c>
      <c r="D137" s="157">
        <f>ROUNDDOWN(217.2,0)</f>
        <v>217</v>
      </c>
      <c r="E137" s="34">
        <f t="shared" si="11"/>
        <v>0</v>
      </c>
      <c r="F137" s="134"/>
    </row>
    <row r="138" spans="1:8" ht="13.8" customHeight="1" x14ac:dyDescent="0.3">
      <c r="A138" s="139" t="s">
        <v>116</v>
      </c>
      <c r="B138" s="140"/>
      <c r="C138" s="141" t="s">
        <v>23</v>
      </c>
      <c r="D138" s="157">
        <f>ROUNDUP(280.55,0)</f>
        <v>281</v>
      </c>
      <c r="E138" s="34">
        <f t="shared" si="11"/>
        <v>0</v>
      </c>
      <c r="F138" s="142"/>
      <c r="H138" s="142"/>
    </row>
    <row r="139" spans="1:8" ht="13.8" customHeight="1" x14ac:dyDescent="0.3">
      <c r="A139" s="86" t="s">
        <v>115</v>
      </c>
      <c r="B139" s="37"/>
      <c r="C139" s="36" t="s">
        <v>23</v>
      </c>
      <c r="D139" s="157">
        <f>ROUNDUP(307.7,0)</f>
        <v>308</v>
      </c>
      <c r="E139" s="34">
        <f t="shared" si="11"/>
        <v>0</v>
      </c>
      <c r="F139" s="134"/>
      <c r="G139" s="156"/>
    </row>
    <row r="140" spans="1:8" ht="13.8" customHeight="1" x14ac:dyDescent="0.3">
      <c r="A140" s="86" t="s">
        <v>114</v>
      </c>
      <c r="B140" s="37"/>
      <c r="C140" s="36" t="s">
        <v>23</v>
      </c>
      <c r="D140" s="157">
        <f>ROUNDUP(352.95,0)</f>
        <v>353</v>
      </c>
      <c r="E140" s="34">
        <f t="shared" si="11"/>
        <v>0</v>
      </c>
      <c r="F140" s="134"/>
      <c r="G140" s="88"/>
      <c r="H140" s="88"/>
    </row>
    <row r="141" spans="1:8" ht="14.25" customHeight="1" x14ac:dyDescent="0.3">
      <c r="A141" s="31" t="s">
        <v>9</v>
      </c>
      <c r="B141" s="52"/>
      <c r="C141" s="52"/>
      <c r="D141" s="51"/>
      <c r="E141" s="28">
        <f t="shared" si="11"/>
        <v>0</v>
      </c>
      <c r="F141" s="134"/>
    </row>
    <row r="142" spans="1:8" ht="14.25" customHeight="1" x14ac:dyDescent="0.3">
      <c r="A142" s="145" t="s">
        <v>113</v>
      </c>
      <c r="B142" s="146"/>
      <c r="C142" s="47"/>
      <c r="D142" s="85" t="s">
        <v>20</v>
      </c>
      <c r="E142" s="44">
        <f>SUM(E134:E141)</f>
        <v>0</v>
      </c>
      <c r="F142" s="134"/>
      <c r="G142" s="156"/>
    </row>
    <row r="143" spans="1:8" ht="14.25" customHeight="1" x14ac:dyDescent="0.3">
      <c r="A143" s="147" t="s">
        <v>112</v>
      </c>
      <c r="B143" s="147"/>
      <c r="C143" s="147"/>
      <c r="D143" s="147"/>
      <c r="E143" s="147"/>
      <c r="F143" s="134"/>
      <c r="G143" s="88"/>
      <c r="H143" s="88"/>
    </row>
    <row r="144" spans="1:8" ht="14.25" customHeight="1" x14ac:dyDescent="0.3">
      <c r="A144" s="84" t="s">
        <v>18</v>
      </c>
      <c r="B144" s="83" t="s">
        <v>17</v>
      </c>
      <c r="C144" s="83" t="s">
        <v>16</v>
      </c>
      <c r="D144" s="82" t="s">
        <v>15</v>
      </c>
      <c r="E144" s="81" t="s">
        <v>14</v>
      </c>
      <c r="F144" s="134"/>
    </row>
    <row r="145" spans="1:6" ht="14.25" customHeight="1" x14ac:dyDescent="0.3">
      <c r="A145" s="135" t="s">
        <v>200</v>
      </c>
      <c r="B145" s="140"/>
      <c r="C145" s="68" t="s">
        <v>10</v>
      </c>
      <c r="D145" s="162">
        <v>9906</v>
      </c>
      <c r="E145" s="34">
        <f t="shared" ref="E145:E150" si="12">D145*B145</f>
        <v>0</v>
      </c>
      <c r="F145" s="142"/>
    </row>
    <row r="146" spans="1:6" ht="14.25" customHeight="1" x14ac:dyDescent="0.3">
      <c r="A146" s="135" t="s">
        <v>201</v>
      </c>
      <c r="B146" s="140"/>
      <c r="C146" s="68" t="s">
        <v>10</v>
      </c>
      <c r="D146" s="162">
        <v>11566</v>
      </c>
      <c r="E146" s="34">
        <f t="shared" si="12"/>
        <v>0</v>
      </c>
      <c r="F146" s="142"/>
    </row>
    <row r="147" spans="1:6" ht="14.25" customHeight="1" x14ac:dyDescent="0.3">
      <c r="A147" s="135" t="s">
        <v>202</v>
      </c>
      <c r="B147" s="140"/>
      <c r="C147" s="68" t="s">
        <v>10</v>
      </c>
      <c r="D147" s="162">
        <v>11842</v>
      </c>
      <c r="E147" s="34">
        <f t="shared" si="12"/>
        <v>0</v>
      </c>
      <c r="F147" s="134"/>
    </row>
    <row r="148" spans="1:6" ht="14.25" customHeight="1" x14ac:dyDescent="0.3">
      <c r="A148" s="135" t="s">
        <v>203</v>
      </c>
      <c r="B148" s="140"/>
      <c r="C148" s="68" t="s">
        <v>10</v>
      </c>
      <c r="D148" s="162">
        <v>18372</v>
      </c>
      <c r="E148" s="34">
        <f t="shared" si="12"/>
        <v>0</v>
      </c>
      <c r="F148" s="134"/>
    </row>
    <row r="149" spans="1:6" ht="14.25" customHeight="1" x14ac:dyDescent="0.3">
      <c r="A149" s="135" t="s">
        <v>204</v>
      </c>
      <c r="B149" s="140"/>
      <c r="C149" s="68" t="s">
        <v>10</v>
      </c>
      <c r="D149" s="162">
        <v>20625</v>
      </c>
      <c r="E149" s="34">
        <f t="shared" si="12"/>
        <v>0</v>
      </c>
      <c r="F149" s="134"/>
    </row>
    <row r="150" spans="1:6" ht="14.25" customHeight="1" x14ac:dyDescent="0.3">
      <c r="A150" s="135" t="s">
        <v>205</v>
      </c>
      <c r="B150" s="140"/>
      <c r="C150" s="68" t="s">
        <v>10</v>
      </c>
      <c r="D150" s="162">
        <v>27397</v>
      </c>
      <c r="E150" s="34">
        <f t="shared" si="12"/>
        <v>0</v>
      </c>
      <c r="F150" s="134"/>
    </row>
    <row r="151" spans="1:6" ht="14.25" customHeight="1" x14ac:dyDescent="0.3">
      <c r="A151" s="31" t="s">
        <v>9</v>
      </c>
      <c r="B151" s="166"/>
      <c r="C151" s="52"/>
      <c r="D151" s="51"/>
      <c r="E151" s="28">
        <f t="shared" ref="E151:E152" si="13">D151*B151</f>
        <v>0</v>
      </c>
      <c r="F151" s="134"/>
    </row>
    <row r="152" spans="1:6" ht="14.25" customHeight="1" x14ac:dyDescent="0.3">
      <c r="A152" s="31" t="s">
        <v>9</v>
      </c>
      <c r="B152" s="166"/>
      <c r="C152" s="52"/>
      <c r="D152" s="51"/>
      <c r="E152" s="28">
        <f t="shared" si="13"/>
        <v>0</v>
      </c>
      <c r="F152" s="142"/>
    </row>
    <row r="153" spans="1:6" ht="14.25" customHeight="1" x14ac:dyDescent="0.3">
      <c r="A153" s="145" t="s">
        <v>110</v>
      </c>
      <c r="B153" s="146"/>
      <c r="C153" s="47"/>
      <c r="D153" s="85" t="s">
        <v>20</v>
      </c>
      <c r="E153" s="44">
        <f>SUM(E145:E152)</f>
        <v>0</v>
      </c>
      <c r="F153" s="134"/>
    </row>
    <row r="154" spans="1:6" ht="14.25" customHeight="1" x14ac:dyDescent="0.3">
      <c r="A154" s="147" t="s">
        <v>109</v>
      </c>
      <c r="B154" s="147"/>
      <c r="C154" s="147"/>
      <c r="D154" s="147"/>
      <c r="E154" s="147"/>
      <c r="F154" s="134"/>
    </row>
    <row r="155" spans="1:6" ht="14.25" customHeight="1" x14ac:dyDescent="0.3">
      <c r="A155" s="84" t="s">
        <v>18</v>
      </c>
      <c r="B155" s="83" t="s">
        <v>17</v>
      </c>
      <c r="C155" s="83" t="s">
        <v>16</v>
      </c>
      <c r="D155" s="82" t="s">
        <v>15</v>
      </c>
      <c r="E155" s="81" t="s">
        <v>14</v>
      </c>
    </row>
    <row r="156" spans="1:6" ht="14.25" customHeight="1" x14ac:dyDescent="0.3">
      <c r="A156" s="55" t="s">
        <v>182</v>
      </c>
      <c r="B156" s="37"/>
      <c r="C156" s="36" t="s">
        <v>23</v>
      </c>
      <c r="D156" s="157">
        <v>29</v>
      </c>
      <c r="E156" s="34">
        <f t="shared" ref="E156:E175" si="14">D156*B156</f>
        <v>0</v>
      </c>
    </row>
    <row r="157" spans="1:6" ht="13.8" customHeight="1" x14ac:dyDescent="0.3">
      <c r="A157" s="86" t="s">
        <v>181</v>
      </c>
      <c r="B157" s="37"/>
      <c r="C157" s="36" t="s">
        <v>23</v>
      </c>
      <c r="D157" s="157">
        <v>43.5</v>
      </c>
      <c r="E157" s="34">
        <f t="shared" si="14"/>
        <v>0</v>
      </c>
    </row>
    <row r="158" spans="1:6" ht="13.8" customHeight="1" x14ac:dyDescent="0.3">
      <c r="A158" s="86" t="s">
        <v>180</v>
      </c>
      <c r="B158" s="37"/>
      <c r="C158" s="36" t="s">
        <v>23</v>
      </c>
      <c r="D158" s="157">
        <f>ROUNDUP(36.25,1)</f>
        <v>36.300000000000004</v>
      </c>
      <c r="E158" s="34">
        <f t="shared" si="14"/>
        <v>0</v>
      </c>
    </row>
    <row r="159" spans="1:6" s="133" customFormat="1" ht="13.8" customHeight="1" x14ac:dyDescent="0.3">
      <c r="A159" s="139" t="s">
        <v>179</v>
      </c>
      <c r="B159" s="140"/>
      <c r="C159" s="141" t="s">
        <v>23</v>
      </c>
      <c r="D159" s="157">
        <v>55.1</v>
      </c>
      <c r="E159" s="34">
        <f t="shared" si="14"/>
        <v>0</v>
      </c>
      <c r="F159" s="134"/>
    </row>
    <row r="160" spans="1:6" s="133" customFormat="1" ht="13.8" customHeight="1" x14ac:dyDescent="0.3">
      <c r="A160" s="86" t="s">
        <v>177</v>
      </c>
      <c r="B160" s="37"/>
      <c r="C160" s="36" t="s">
        <v>23</v>
      </c>
      <c r="D160" s="157">
        <f>ROUNDUP(53.65,1)</f>
        <v>53.7</v>
      </c>
      <c r="E160" s="34">
        <f t="shared" si="14"/>
        <v>0</v>
      </c>
      <c r="F160" s="134"/>
    </row>
    <row r="161" spans="1:8" s="133" customFormat="1" ht="13.8" customHeight="1" x14ac:dyDescent="0.3">
      <c r="A161" s="86" t="s">
        <v>178</v>
      </c>
      <c r="B161" s="37"/>
      <c r="C161" s="36" t="s">
        <v>23</v>
      </c>
      <c r="D161" s="157">
        <v>75.399999999999991</v>
      </c>
      <c r="E161" s="34">
        <f t="shared" si="14"/>
        <v>0</v>
      </c>
      <c r="F161" s="134"/>
    </row>
    <row r="162" spans="1:8" ht="13.8" customHeight="1" x14ac:dyDescent="0.3">
      <c r="A162" s="86" t="s">
        <v>108</v>
      </c>
      <c r="B162" s="37"/>
      <c r="C162" s="36" t="s">
        <v>23</v>
      </c>
      <c r="D162" s="157">
        <v>55.1</v>
      </c>
      <c r="E162" s="34">
        <f t="shared" si="14"/>
        <v>0</v>
      </c>
      <c r="F162" s="134"/>
    </row>
    <row r="163" spans="1:8" ht="13.8" customHeight="1" x14ac:dyDescent="0.3">
      <c r="A163" s="86" t="s">
        <v>107</v>
      </c>
      <c r="B163" s="37"/>
      <c r="C163" s="36" t="s">
        <v>23</v>
      </c>
      <c r="D163" s="157">
        <v>78.3</v>
      </c>
      <c r="E163" s="34">
        <f t="shared" si="14"/>
        <v>0</v>
      </c>
      <c r="F163" s="134"/>
      <c r="G163" s="156"/>
    </row>
    <row r="164" spans="1:8" ht="13.8" customHeight="1" x14ac:dyDescent="0.3">
      <c r="A164" s="86" t="s">
        <v>106</v>
      </c>
      <c r="B164" s="37"/>
      <c r="C164" s="36" t="s">
        <v>23</v>
      </c>
      <c r="D164" s="157">
        <v>72.5</v>
      </c>
      <c r="E164" s="34">
        <f t="shared" si="14"/>
        <v>0</v>
      </c>
      <c r="F164" s="134"/>
      <c r="G164" s="88"/>
      <c r="H164" s="88"/>
    </row>
    <row r="165" spans="1:8" ht="13.8" customHeight="1" x14ac:dyDescent="0.3">
      <c r="A165" s="86" t="s">
        <v>105</v>
      </c>
      <c r="B165" s="37"/>
      <c r="C165" s="36" t="s">
        <v>23</v>
      </c>
      <c r="D165" s="157">
        <f>ROUNDUP(101.5,0)</f>
        <v>102</v>
      </c>
      <c r="E165" s="34">
        <f t="shared" si="14"/>
        <v>0</v>
      </c>
      <c r="F165" s="134"/>
    </row>
    <row r="166" spans="1:8" ht="13.8" customHeight="1" x14ac:dyDescent="0.3">
      <c r="A166" s="139" t="s">
        <v>104</v>
      </c>
      <c r="B166" s="140"/>
      <c r="C166" s="141" t="s">
        <v>23</v>
      </c>
      <c r="D166" s="157">
        <f>ROUNDUP(94.25,1)</f>
        <v>94.3</v>
      </c>
      <c r="E166" s="34">
        <f t="shared" si="14"/>
        <v>0</v>
      </c>
      <c r="F166" s="134"/>
    </row>
    <row r="167" spans="1:8" ht="13.8" customHeight="1" x14ac:dyDescent="0.3">
      <c r="A167" s="86" t="s">
        <v>103</v>
      </c>
      <c r="B167" s="37"/>
      <c r="C167" s="36" t="s">
        <v>23</v>
      </c>
      <c r="D167" s="157">
        <f>ROUNDUP(130.5,0)</f>
        <v>131</v>
      </c>
      <c r="E167" s="34">
        <f t="shared" si="14"/>
        <v>0</v>
      </c>
      <c r="F167" s="134"/>
      <c r="G167" s="156"/>
    </row>
    <row r="168" spans="1:8" ht="13.8" customHeight="1" x14ac:dyDescent="0.3">
      <c r="A168" s="86" t="s">
        <v>183</v>
      </c>
      <c r="B168" s="37"/>
      <c r="C168" s="36" t="s">
        <v>10</v>
      </c>
      <c r="D168" s="157">
        <v>1450</v>
      </c>
      <c r="E168" s="34">
        <f t="shared" si="14"/>
        <v>0</v>
      </c>
      <c r="F168" s="134"/>
      <c r="G168" s="88"/>
      <c r="H168" s="88"/>
    </row>
    <row r="169" spans="1:8" ht="13.8" customHeight="1" x14ac:dyDescent="0.3">
      <c r="A169" s="86" t="s">
        <v>169</v>
      </c>
      <c r="B169" s="37"/>
      <c r="C169" s="36" t="s">
        <v>10</v>
      </c>
      <c r="D169" s="157">
        <v>1740</v>
      </c>
      <c r="E169" s="34">
        <f t="shared" si="14"/>
        <v>0</v>
      </c>
      <c r="F169" s="134"/>
    </row>
    <row r="170" spans="1:8" ht="13.8" customHeight="1" x14ac:dyDescent="0.3">
      <c r="A170" s="86" t="s">
        <v>168</v>
      </c>
      <c r="B170" s="37"/>
      <c r="C170" s="36" t="s">
        <v>10</v>
      </c>
      <c r="D170" s="157">
        <v>2320</v>
      </c>
      <c r="E170" s="34">
        <f t="shared" si="14"/>
        <v>0</v>
      </c>
      <c r="F170" s="142"/>
      <c r="H170" s="142"/>
    </row>
    <row r="171" spans="1:8" ht="13.8" customHeight="1" x14ac:dyDescent="0.3">
      <c r="A171" s="86" t="s">
        <v>102</v>
      </c>
      <c r="B171" s="37"/>
      <c r="C171" s="36" t="s">
        <v>10</v>
      </c>
      <c r="D171" s="157">
        <v>2900</v>
      </c>
      <c r="E171" s="34">
        <f t="shared" si="14"/>
        <v>0</v>
      </c>
      <c r="F171" s="134"/>
    </row>
    <row r="172" spans="1:8" ht="13.8" customHeight="1" x14ac:dyDescent="0.3">
      <c r="A172" s="86" t="s">
        <v>101</v>
      </c>
      <c r="B172" s="37"/>
      <c r="C172" s="36" t="s">
        <v>10</v>
      </c>
      <c r="D172" s="157">
        <v>3625</v>
      </c>
      <c r="E172" s="34">
        <f t="shared" si="14"/>
        <v>0</v>
      </c>
      <c r="F172" s="134"/>
    </row>
    <row r="173" spans="1:8" ht="13.8" customHeight="1" x14ac:dyDescent="0.3">
      <c r="A173" s="86" t="s">
        <v>100</v>
      </c>
      <c r="B173" s="37"/>
      <c r="C173" s="36" t="s">
        <v>10</v>
      </c>
      <c r="D173" s="157">
        <v>12325</v>
      </c>
      <c r="E173" s="34">
        <f t="shared" si="14"/>
        <v>0</v>
      </c>
    </row>
    <row r="174" spans="1:8" ht="14.25" customHeight="1" x14ac:dyDescent="0.3">
      <c r="A174" s="31" t="s">
        <v>9</v>
      </c>
      <c r="B174" s="33"/>
      <c r="C174" s="33"/>
      <c r="D174" s="51"/>
      <c r="E174" s="28">
        <f t="shared" si="14"/>
        <v>0</v>
      </c>
    </row>
    <row r="175" spans="1:8" ht="14.25" customHeight="1" x14ac:dyDescent="0.3">
      <c r="A175" s="31" t="s">
        <v>9</v>
      </c>
      <c r="B175" s="52"/>
      <c r="C175" s="33"/>
      <c r="D175" s="51"/>
      <c r="E175" s="28">
        <f t="shared" si="14"/>
        <v>0</v>
      </c>
    </row>
    <row r="176" spans="1:8" ht="14.25" customHeight="1" x14ac:dyDescent="0.3">
      <c r="A176" s="145" t="s">
        <v>99</v>
      </c>
      <c r="B176" s="146"/>
      <c r="C176" s="46"/>
      <c r="D176" s="45" t="s">
        <v>20</v>
      </c>
      <c r="E176" s="44">
        <f>SUM(E156:E175)</f>
        <v>0</v>
      </c>
      <c r="F176" s="134"/>
      <c r="G176" s="133"/>
      <c r="H176" s="133"/>
    </row>
    <row r="177" spans="1:7" ht="14.25" customHeight="1" x14ac:dyDescent="0.3">
      <c r="A177" s="148" t="s">
        <v>98</v>
      </c>
      <c r="B177" s="148"/>
      <c r="C177" s="148"/>
      <c r="D177" s="148"/>
      <c r="E177" s="148"/>
      <c r="F177" s="134"/>
    </row>
    <row r="178" spans="1:7" ht="14.25" customHeight="1" x14ac:dyDescent="0.3">
      <c r="A178" s="84" t="s">
        <v>18</v>
      </c>
      <c r="B178" s="83" t="s">
        <v>17</v>
      </c>
      <c r="C178" s="83" t="s">
        <v>16</v>
      </c>
      <c r="D178" s="82" t="s">
        <v>15</v>
      </c>
      <c r="E178" s="81" t="s">
        <v>14</v>
      </c>
    </row>
    <row r="179" spans="1:7" ht="13.8" customHeight="1" x14ac:dyDescent="0.3">
      <c r="A179" s="139" t="s">
        <v>97</v>
      </c>
      <c r="B179" s="140"/>
      <c r="C179" s="141" t="s">
        <v>10</v>
      </c>
      <c r="D179" s="157">
        <v>9000</v>
      </c>
      <c r="E179" s="34">
        <f t="shared" ref="E179:E191" si="15">D179*B179</f>
        <v>0</v>
      </c>
      <c r="F179" s="134"/>
    </row>
    <row r="180" spans="1:7" ht="13.8" customHeight="1" x14ac:dyDescent="0.3">
      <c r="A180" s="55" t="s">
        <v>96</v>
      </c>
      <c r="B180" s="37"/>
      <c r="C180" s="36" t="s">
        <v>95</v>
      </c>
      <c r="D180" s="157">
        <v>225</v>
      </c>
      <c r="E180" s="34">
        <f t="shared" si="15"/>
        <v>0</v>
      </c>
      <c r="F180" s="134"/>
    </row>
    <row r="181" spans="1:7" ht="13.8" customHeight="1" x14ac:dyDescent="0.3">
      <c r="A181" s="55" t="s">
        <v>94</v>
      </c>
      <c r="B181" s="37"/>
      <c r="C181" s="36" t="s">
        <v>23</v>
      </c>
      <c r="D181" s="157">
        <v>3.75</v>
      </c>
      <c r="E181" s="34">
        <f t="shared" si="15"/>
        <v>0</v>
      </c>
      <c r="F181" s="134"/>
      <c r="G181" s="133"/>
    </row>
    <row r="182" spans="1:7" ht="13.8" customHeight="1" x14ac:dyDescent="0.3">
      <c r="A182" s="86" t="s">
        <v>93</v>
      </c>
      <c r="B182" s="37"/>
      <c r="C182" s="49" t="s">
        <v>23</v>
      </c>
      <c r="D182" s="157">
        <v>375</v>
      </c>
      <c r="E182" s="34">
        <f t="shared" si="15"/>
        <v>0</v>
      </c>
    </row>
    <row r="183" spans="1:7" ht="13.8" customHeight="1" x14ac:dyDescent="0.3">
      <c r="A183" s="86" t="s">
        <v>92</v>
      </c>
      <c r="B183" s="37"/>
      <c r="C183" s="49" t="s">
        <v>23</v>
      </c>
      <c r="D183" s="157">
        <v>450</v>
      </c>
      <c r="E183" s="34">
        <f t="shared" si="15"/>
        <v>0</v>
      </c>
      <c r="F183" s="134"/>
    </row>
    <row r="184" spans="1:7" ht="13.8" customHeight="1" x14ac:dyDescent="0.3">
      <c r="A184" s="86" t="s">
        <v>91</v>
      </c>
      <c r="B184" s="37"/>
      <c r="C184" s="49" t="s">
        <v>23</v>
      </c>
      <c r="D184" s="157">
        <v>525</v>
      </c>
      <c r="E184" s="34">
        <f t="shared" si="15"/>
        <v>0</v>
      </c>
      <c r="F184" s="134"/>
    </row>
    <row r="185" spans="1:7" ht="13.8" customHeight="1" x14ac:dyDescent="0.3">
      <c r="A185" s="86" t="s">
        <v>90</v>
      </c>
      <c r="B185" s="37"/>
      <c r="C185" s="49" t="s">
        <v>23</v>
      </c>
      <c r="D185" s="157">
        <v>675</v>
      </c>
      <c r="E185" s="34">
        <f t="shared" si="15"/>
        <v>0</v>
      </c>
      <c r="F185" s="134"/>
    </row>
    <row r="186" spans="1:7" ht="13.8" customHeight="1" x14ac:dyDescent="0.3">
      <c r="A186" s="86" t="s">
        <v>89</v>
      </c>
      <c r="B186" s="37"/>
      <c r="C186" s="49" t="s">
        <v>23</v>
      </c>
      <c r="D186" s="157">
        <v>1050</v>
      </c>
      <c r="E186" s="34">
        <f t="shared" si="15"/>
        <v>0</v>
      </c>
      <c r="F186" s="134"/>
    </row>
    <row r="187" spans="1:7" ht="13.8" customHeight="1" x14ac:dyDescent="0.3">
      <c r="A187" s="86" t="s">
        <v>88</v>
      </c>
      <c r="B187" s="37"/>
      <c r="C187" s="49" t="s">
        <v>23</v>
      </c>
      <c r="D187" s="157">
        <v>1350</v>
      </c>
      <c r="E187" s="34">
        <f t="shared" si="15"/>
        <v>0</v>
      </c>
    </row>
    <row r="188" spans="1:7" ht="13.8" customHeight="1" x14ac:dyDescent="0.3">
      <c r="A188" s="86" t="s">
        <v>87</v>
      </c>
      <c r="B188" s="37"/>
      <c r="C188" s="49" t="s">
        <v>23</v>
      </c>
      <c r="D188" s="157">
        <v>1800</v>
      </c>
      <c r="E188" s="34">
        <f t="shared" si="15"/>
        <v>0</v>
      </c>
      <c r="F188" s="134"/>
    </row>
    <row r="189" spans="1:7" ht="13.8" customHeight="1" x14ac:dyDescent="0.3">
      <c r="A189" s="86" t="s">
        <v>184</v>
      </c>
      <c r="B189" s="37"/>
      <c r="C189" s="49" t="s">
        <v>10</v>
      </c>
      <c r="D189" s="157">
        <v>1800</v>
      </c>
      <c r="E189" s="34">
        <f t="shared" si="15"/>
        <v>0</v>
      </c>
      <c r="F189" s="134"/>
    </row>
    <row r="190" spans="1:7" ht="13.8" customHeight="1" x14ac:dyDescent="0.3">
      <c r="A190" s="86" t="s">
        <v>185</v>
      </c>
      <c r="B190" s="37"/>
      <c r="C190" s="49" t="s">
        <v>10</v>
      </c>
      <c r="D190" s="157">
        <v>2700</v>
      </c>
      <c r="E190" s="34">
        <f t="shared" si="15"/>
        <v>0</v>
      </c>
      <c r="F190" s="134"/>
    </row>
    <row r="191" spans="1:7" ht="14.25" customHeight="1" x14ac:dyDescent="0.3">
      <c r="A191" s="31" t="s">
        <v>9</v>
      </c>
      <c r="B191" s="52"/>
      <c r="C191" s="33"/>
      <c r="D191" s="51"/>
      <c r="E191" s="28">
        <f t="shared" si="15"/>
        <v>0</v>
      </c>
    </row>
    <row r="192" spans="1:7" x14ac:dyDescent="0.3">
      <c r="A192" s="145" t="s">
        <v>47</v>
      </c>
      <c r="B192" s="146"/>
      <c r="C192" s="47"/>
      <c r="D192" s="85" t="s">
        <v>20</v>
      </c>
      <c r="E192" s="44">
        <f>SUM(E179:E191)</f>
        <v>0</v>
      </c>
      <c r="F192" s="134"/>
    </row>
    <row r="193" spans="1:7" ht="15.6" x14ac:dyDescent="0.3">
      <c r="A193" s="147" t="s">
        <v>86</v>
      </c>
      <c r="B193" s="147"/>
      <c r="C193" s="147"/>
      <c r="D193" s="147"/>
      <c r="E193" s="147"/>
      <c r="F193" s="134"/>
      <c r="G193" s="133"/>
    </row>
    <row r="194" spans="1:7" x14ac:dyDescent="0.3">
      <c r="A194" s="84" t="s">
        <v>18</v>
      </c>
      <c r="B194" s="83" t="s">
        <v>17</v>
      </c>
      <c r="C194" s="83" t="s">
        <v>16</v>
      </c>
      <c r="D194" s="82" t="s">
        <v>15</v>
      </c>
      <c r="E194" s="81" t="s">
        <v>14</v>
      </c>
    </row>
    <row r="195" spans="1:7" x14ac:dyDescent="0.3">
      <c r="A195" s="55" t="s">
        <v>85</v>
      </c>
      <c r="B195" s="37"/>
      <c r="C195" s="36" t="s">
        <v>84</v>
      </c>
      <c r="D195" s="67"/>
      <c r="E195" s="34">
        <f>B195*D195</f>
        <v>0</v>
      </c>
      <c r="F195" s="134"/>
    </row>
    <row r="196" spans="1:7" ht="15" thickBot="1" x14ac:dyDescent="0.35">
      <c r="A196" s="145" t="s">
        <v>83</v>
      </c>
      <c r="B196" s="146"/>
      <c r="C196" s="46"/>
      <c r="D196" s="45" t="s">
        <v>20</v>
      </c>
      <c r="E196" s="44">
        <f>E195</f>
        <v>0</v>
      </c>
      <c r="F196" s="134"/>
    </row>
    <row r="197" spans="1:7" ht="19.2" thickTop="1" thickBot="1" x14ac:dyDescent="0.35">
      <c r="A197" s="80" t="s">
        <v>6</v>
      </c>
      <c r="B197" s="79"/>
      <c r="C197" s="79"/>
      <c r="D197" s="78"/>
      <c r="E197" s="77">
        <f>E196+E192+E176+E153+E142+E130+E91</f>
        <v>0</v>
      </c>
      <c r="F197" s="134"/>
    </row>
    <row r="198" spans="1:7" ht="15" thickTop="1" x14ac:dyDescent="0.3">
      <c r="A198" s="62"/>
      <c r="B198" s="61"/>
      <c r="C198" s="61"/>
      <c r="D198" s="60"/>
      <c r="E198" s="59"/>
    </row>
    <row r="199" spans="1:7" x14ac:dyDescent="0.3">
      <c r="A199" s="76"/>
      <c r="B199" s="75"/>
      <c r="C199" s="75"/>
      <c r="D199" s="74"/>
      <c r="E199" s="73"/>
    </row>
    <row r="200" spans="1:7" ht="18" x14ac:dyDescent="0.35">
      <c r="A200" s="154" t="s">
        <v>82</v>
      </c>
      <c r="B200" s="154"/>
      <c r="C200" s="154"/>
      <c r="D200" s="154"/>
      <c r="E200" s="154"/>
    </row>
    <row r="201" spans="1:7" ht="15.6" x14ac:dyDescent="0.3">
      <c r="A201" s="143" t="s">
        <v>81</v>
      </c>
      <c r="B201" s="143"/>
      <c r="C201" s="143"/>
      <c r="D201" s="143"/>
      <c r="E201" s="143"/>
    </row>
    <row r="202" spans="1:7" ht="18.45" customHeight="1" x14ac:dyDescent="0.3">
      <c r="A202" s="72" t="s">
        <v>18</v>
      </c>
      <c r="B202" s="71" t="s">
        <v>17</v>
      </c>
      <c r="C202" s="71" t="s">
        <v>16</v>
      </c>
      <c r="D202" s="70" t="s">
        <v>15</v>
      </c>
      <c r="E202" s="69" t="s">
        <v>14</v>
      </c>
    </row>
    <row r="203" spans="1:7" x14ac:dyDescent="0.3">
      <c r="A203" s="53" t="s">
        <v>80</v>
      </c>
      <c r="B203" s="37"/>
      <c r="C203" s="36" t="s">
        <v>23</v>
      </c>
      <c r="D203" s="157">
        <f>ROUNDDOWN(103.375,0)</f>
        <v>103</v>
      </c>
      <c r="E203" s="34">
        <f t="shared" ref="E203:E227" si="16">D203*B203</f>
        <v>0</v>
      </c>
      <c r="F203" s="134"/>
    </row>
    <row r="204" spans="1:7" x14ac:dyDescent="0.3">
      <c r="A204" s="160" t="s">
        <v>79</v>
      </c>
      <c r="B204" s="140"/>
      <c r="C204" s="141" t="s">
        <v>23</v>
      </c>
      <c r="D204" s="157">
        <f>ROUNDDOWN(124.05,0)</f>
        <v>124</v>
      </c>
      <c r="E204" s="34">
        <f t="shared" si="16"/>
        <v>0</v>
      </c>
      <c r="F204" s="134"/>
    </row>
    <row r="205" spans="1:7" x14ac:dyDescent="0.3">
      <c r="A205" s="53" t="s">
        <v>78</v>
      </c>
      <c r="B205" s="37"/>
      <c r="C205" s="36" t="s">
        <v>23</v>
      </c>
      <c r="D205" s="157">
        <f>ROUNDDOWN(165.4,0)</f>
        <v>165</v>
      </c>
      <c r="E205" s="34">
        <f t="shared" si="16"/>
        <v>0</v>
      </c>
      <c r="F205" s="134"/>
    </row>
    <row r="206" spans="1:7" x14ac:dyDescent="0.3">
      <c r="A206" s="53" t="s">
        <v>77</v>
      </c>
      <c r="B206" s="37"/>
      <c r="C206" s="36" t="s">
        <v>23</v>
      </c>
      <c r="D206" s="157">
        <f>ROUNDUP(206.75,0)</f>
        <v>207</v>
      </c>
      <c r="E206" s="34">
        <f t="shared" si="16"/>
        <v>0</v>
      </c>
    </row>
    <row r="207" spans="1:7" x14ac:dyDescent="0.3">
      <c r="A207" s="53" t="s">
        <v>76</v>
      </c>
      <c r="B207" s="37"/>
      <c r="C207" s="36" t="s">
        <v>23</v>
      </c>
      <c r="D207" s="157">
        <f>ROUNDDOWN(248.1,0)</f>
        <v>248</v>
      </c>
      <c r="E207" s="34">
        <f t="shared" si="16"/>
        <v>0</v>
      </c>
    </row>
    <row r="208" spans="1:7" x14ac:dyDescent="0.3">
      <c r="A208" s="53" t="s">
        <v>75</v>
      </c>
      <c r="B208" s="37"/>
      <c r="C208" s="36" t="s">
        <v>23</v>
      </c>
      <c r="D208" s="157">
        <f>ROUNDUP(289.45,0)</f>
        <v>290</v>
      </c>
      <c r="E208" s="34">
        <f t="shared" si="16"/>
        <v>0</v>
      </c>
    </row>
    <row r="209" spans="1:5" x14ac:dyDescent="0.3">
      <c r="A209" s="53" t="s">
        <v>74</v>
      </c>
      <c r="B209" s="37"/>
      <c r="C209" s="36" t="s">
        <v>23</v>
      </c>
      <c r="D209" s="157">
        <f>ROUNDUP(330.8,0)</f>
        <v>331</v>
      </c>
      <c r="E209" s="34">
        <f t="shared" si="16"/>
        <v>0</v>
      </c>
    </row>
    <row r="210" spans="1:5" x14ac:dyDescent="0.3">
      <c r="A210" s="53" t="s">
        <v>73</v>
      </c>
      <c r="B210" s="37"/>
      <c r="C210" s="36" t="s">
        <v>23</v>
      </c>
      <c r="D210" s="157">
        <f>ROUNDDOWN(372.15,0)</f>
        <v>372</v>
      </c>
      <c r="E210" s="34">
        <f t="shared" si="16"/>
        <v>0</v>
      </c>
    </row>
    <row r="211" spans="1:5" ht="13.8" customHeight="1" x14ac:dyDescent="0.3">
      <c r="A211" s="53" t="s">
        <v>72</v>
      </c>
      <c r="B211" s="37"/>
      <c r="C211" s="36" t="s">
        <v>23</v>
      </c>
      <c r="D211" s="157">
        <f>ROUNDUP(413.5,0)</f>
        <v>414</v>
      </c>
      <c r="E211" s="34">
        <f t="shared" si="16"/>
        <v>0</v>
      </c>
    </row>
    <row r="212" spans="1:5" ht="13.8" customHeight="1" x14ac:dyDescent="0.3">
      <c r="A212" s="53" t="s">
        <v>71</v>
      </c>
      <c r="B212" s="37"/>
      <c r="C212" s="36" t="s">
        <v>23</v>
      </c>
      <c r="D212" s="157">
        <f>ROUNDUP(454.85,0)</f>
        <v>455</v>
      </c>
      <c r="E212" s="34">
        <f t="shared" si="16"/>
        <v>0</v>
      </c>
    </row>
    <row r="213" spans="1:5" ht="13.8" customHeight="1" x14ac:dyDescent="0.3">
      <c r="A213" s="53" t="s">
        <v>70</v>
      </c>
      <c r="B213" s="37"/>
      <c r="C213" s="36" t="s">
        <v>23</v>
      </c>
      <c r="D213" s="157">
        <f>ROUNDDOWN(496.2,0)</f>
        <v>496</v>
      </c>
      <c r="E213" s="34">
        <f t="shared" si="16"/>
        <v>0</v>
      </c>
    </row>
    <row r="214" spans="1:5" ht="13.8" customHeight="1" x14ac:dyDescent="0.3">
      <c r="A214" s="53" t="s">
        <v>69</v>
      </c>
      <c r="B214" s="37"/>
      <c r="C214" s="36" t="s">
        <v>10</v>
      </c>
      <c r="D214" s="157">
        <f>ROUNDDOWN(2046.25,0)</f>
        <v>2046</v>
      </c>
      <c r="E214" s="34">
        <f t="shared" si="16"/>
        <v>0</v>
      </c>
    </row>
    <row r="215" spans="1:5" ht="13.8" customHeight="1" x14ac:dyDescent="0.3">
      <c r="A215" s="53" t="s">
        <v>68</v>
      </c>
      <c r="B215" s="37"/>
      <c r="C215" s="36" t="s">
        <v>10</v>
      </c>
      <c r="D215" s="157">
        <f>ROUNDUP(2455.5,0)</f>
        <v>2456</v>
      </c>
      <c r="E215" s="34">
        <f t="shared" si="16"/>
        <v>0</v>
      </c>
    </row>
    <row r="216" spans="1:5" ht="13.8" customHeight="1" x14ac:dyDescent="0.3">
      <c r="A216" s="53" t="s">
        <v>67</v>
      </c>
      <c r="B216" s="37"/>
      <c r="C216" s="36" t="s">
        <v>10</v>
      </c>
      <c r="D216" s="157">
        <v>3274</v>
      </c>
      <c r="E216" s="34">
        <f t="shared" si="16"/>
        <v>0</v>
      </c>
    </row>
    <row r="217" spans="1:5" ht="13.8" customHeight="1" x14ac:dyDescent="0.3">
      <c r="A217" s="53" t="s">
        <v>66</v>
      </c>
      <c r="B217" s="37"/>
      <c r="C217" s="36" t="s">
        <v>10</v>
      </c>
      <c r="D217" s="157">
        <f>ROUNDUP(4092.5,0)</f>
        <v>4093</v>
      </c>
      <c r="E217" s="34">
        <f t="shared" si="16"/>
        <v>0</v>
      </c>
    </row>
    <row r="218" spans="1:5" ht="13.8" customHeight="1" x14ac:dyDescent="0.3">
      <c r="A218" s="53" t="s">
        <v>65</v>
      </c>
      <c r="B218" s="37"/>
      <c r="C218" s="36" t="s">
        <v>10</v>
      </c>
      <c r="D218" s="157">
        <v>4911</v>
      </c>
      <c r="E218" s="34">
        <f t="shared" si="16"/>
        <v>0</v>
      </c>
    </row>
    <row r="219" spans="1:5" ht="13.8" customHeight="1" x14ac:dyDescent="0.3">
      <c r="A219" s="53" t="s">
        <v>64</v>
      </c>
      <c r="B219" s="37"/>
      <c r="C219" s="36" t="s">
        <v>10</v>
      </c>
      <c r="D219" s="157">
        <f>ROUNDUP(5729.5,0)</f>
        <v>5730</v>
      </c>
      <c r="E219" s="34">
        <f t="shared" si="16"/>
        <v>0</v>
      </c>
    </row>
    <row r="220" spans="1:5" ht="13.8" customHeight="1" x14ac:dyDescent="0.3">
      <c r="A220" s="53" t="s">
        <v>63</v>
      </c>
      <c r="B220" s="37"/>
      <c r="C220" s="36" t="s">
        <v>10</v>
      </c>
      <c r="D220" s="157">
        <v>6548</v>
      </c>
      <c r="E220" s="34">
        <f t="shared" si="16"/>
        <v>0</v>
      </c>
    </row>
    <row r="221" spans="1:5" ht="13.8" customHeight="1" x14ac:dyDescent="0.3">
      <c r="A221" s="53" t="s">
        <v>62</v>
      </c>
      <c r="B221" s="37"/>
      <c r="C221" s="36" t="s">
        <v>10</v>
      </c>
      <c r="D221" s="157">
        <f>ROUNDUP(7366.5,0)</f>
        <v>7367</v>
      </c>
      <c r="E221" s="34">
        <f t="shared" si="16"/>
        <v>0</v>
      </c>
    </row>
    <row r="222" spans="1:5" ht="13.8" customHeight="1" x14ac:dyDescent="0.3">
      <c r="A222" s="53" t="s">
        <v>61</v>
      </c>
      <c r="B222" s="37"/>
      <c r="C222" s="36" t="s">
        <v>10</v>
      </c>
      <c r="D222" s="157">
        <v>8185</v>
      </c>
      <c r="E222" s="34">
        <f t="shared" si="16"/>
        <v>0</v>
      </c>
    </row>
    <row r="223" spans="1:5" ht="13.8" customHeight="1" x14ac:dyDescent="0.3">
      <c r="A223" s="53" t="s">
        <v>60</v>
      </c>
      <c r="B223" s="37"/>
      <c r="C223" s="36" t="s">
        <v>10</v>
      </c>
      <c r="D223" s="157">
        <f>ROUNDUP(9003.5,0)</f>
        <v>9004</v>
      </c>
      <c r="E223" s="34">
        <f t="shared" si="16"/>
        <v>0</v>
      </c>
    </row>
    <row r="224" spans="1:5" x14ac:dyDescent="0.3">
      <c r="A224" s="53" t="s">
        <v>59</v>
      </c>
      <c r="B224" s="37"/>
      <c r="C224" s="36" t="s">
        <v>10</v>
      </c>
      <c r="D224" s="157">
        <v>9822</v>
      </c>
      <c r="E224" s="34">
        <f t="shared" si="16"/>
        <v>0</v>
      </c>
    </row>
    <row r="225" spans="1:6" x14ac:dyDescent="0.3">
      <c r="A225" s="31" t="s">
        <v>9</v>
      </c>
      <c r="B225" s="33"/>
      <c r="C225" s="33"/>
      <c r="D225" s="32"/>
      <c r="E225" s="28">
        <f t="shared" si="16"/>
        <v>0</v>
      </c>
    </row>
    <row r="226" spans="1:6" x14ac:dyDescent="0.3">
      <c r="A226" s="31" t="s">
        <v>9</v>
      </c>
      <c r="B226" s="33"/>
      <c r="C226" s="33"/>
      <c r="D226" s="32"/>
      <c r="E226" s="28">
        <f t="shared" si="16"/>
        <v>0</v>
      </c>
    </row>
    <row r="227" spans="1:6" x14ac:dyDescent="0.3">
      <c r="A227" s="31" t="s">
        <v>9</v>
      </c>
      <c r="B227" s="33"/>
      <c r="C227" s="33"/>
      <c r="D227" s="32"/>
      <c r="E227" s="28">
        <f t="shared" si="16"/>
        <v>0</v>
      </c>
    </row>
    <row r="228" spans="1:6" x14ac:dyDescent="0.3">
      <c r="A228" s="48" t="s">
        <v>58</v>
      </c>
      <c r="B228" s="47"/>
      <c r="C228" s="46"/>
      <c r="D228" s="45" t="s">
        <v>20</v>
      </c>
      <c r="E228" s="44">
        <f>SUM(E203:E227)</f>
        <v>0</v>
      </c>
    </row>
    <row r="229" spans="1:6" ht="15.6" x14ac:dyDescent="0.3">
      <c r="A229" s="143" t="s">
        <v>57</v>
      </c>
      <c r="B229" s="143"/>
      <c r="C229" s="143"/>
      <c r="D229" s="143"/>
      <c r="E229" s="143"/>
      <c r="F229" s="134"/>
    </row>
    <row r="230" spans="1:6" ht="13.5" customHeight="1" x14ac:dyDescent="0.3">
      <c r="A230" s="72" t="s">
        <v>18</v>
      </c>
      <c r="B230" s="71" t="s">
        <v>17</v>
      </c>
      <c r="C230" s="71" t="s">
        <v>16</v>
      </c>
      <c r="D230" s="70" t="s">
        <v>15</v>
      </c>
      <c r="E230" s="69" t="s">
        <v>14</v>
      </c>
      <c r="F230" s="134"/>
    </row>
    <row r="231" spans="1:6" x14ac:dyDescent="0.3">
      <c r="A231" s="53" t="s">
        <v>188</v>
      </c>
      <c r="B231" s="37"/>
      <c r="C231" s="36" t="s">
        <v>10</v>
      </c>
      <c r="D231" s="157">
        <v>4610</v>
      </c>
      <c r="E231" s="34">
        <f t="shared" ref="E231:E236" si="17">D231*B231</f>
        <v>0</v>
      </c>
      <c r="F231" s="134"/>
    </row>
    <row r="232" spans="1:6" x14ac:dyDescent="0.3">
      <c r="A232" s="53" t="s">
        <v>186</v>
      </c>
      <c r="B232" s="37"/>
      <c r="C232" s="36" t="s">
        <v>10</v>
      </c>
      <c r="D232" s="157">
        <f>ROUNDUP(7377.5,0)</f>
        <v>7378</v>
      </c>
      <c r="E232" s="34">
        <f t="shared" si="17"/>
        <v>0</v>
      </c>
    </row>
    <row r="233" spans="1:6" x14ac:dyDescent="0.3">
      <c r="A233" s="53" t="s">
        <v>187</v>
      </c>
      <c r="B233" s="37"/>
      <c r="C233" s="36" t="s">
        <v>10</v>
      </c>
      <c r="D233" s="157">
        <v>10145</v>
      </c>
      <c r="E233" s="34">
        <f t="shared" si="17"/>
        <v>0</v>
      </c>
    </row>
    <row r="234" spans="1:6" x14ac:dyDescent="0.3">
      <c r="A234" s="31" t="s">
        <v>9</v>
      </c>
      <c r="B234" s="33"/>
      <c r="C234" s="33"/>
      <c r="D234" s="32"/>
      <c r="E234" s="28">
        <f t="shared" si="17"/>
        <v>0</v>
      </c>
    </row>
    <row r="235" spans="1:6" x14ac:dyDescent="0.3">
      <c r="A235" s="31" t="s">
        <v>9</v>
      </c>
      <c r="B235" s="33"/>
      <c r="C235" s="33"/>
      <c r="D235" s="32"/>
      <c r="E235" s="28">
        <f t="shared" si="17"/>
        <v>0</v>
      </c>
    </row>
    <row r="236" spans="1:6" x14ac:dyDescent="0.3">
      <c r="A236" s="31" t="s">
        <v>9</v>
      </c>
      <c r="B236" s="33"/>
      <c r="C236" s="33"/>
      <c r="D236" s="32"/>
      <c r="E236" s="28">
        <f t="shared" si="17"/>
        <v>0</v>
      </c>
    </row>
    <row r="237" spans="1:6" x14ac:dyDescent="0.3">
      <c r="A237" s="48" t="s">
        <v>56</v>
      </c>
      <c r="B237" s="47"/>
      <c r="C237" s="46"/>
      <c r="D237" s="45" t="s">
        <v>20</v>
      </c>
      <c r="E237" s="44">
        <f>SUM(E231:E236)</f>
        <v>0</v>
      </c>
    </row>
    <row r="238" spans="1:6" ht="15.6" x14ac:dyDescent="0.3">
      <c r="A238" s="143" t="s">
        <v>55</v>
      </c>
      <c r="B238" s="143"/>
      <c r="C238" s="143"/>
      <c r="D238" s="143"/>
      <c r="E238" s="143"/>
    </row>
    <row r="239" spans="1:6" x14ac:dyDescent="0.3">
      <c r="A239" s="72" t="s">
        <v>18</v>
      </c>
      <c r="B239" s="71" t="s">
        <v>17</v>
      </c>
      <c r="C239" s="71" t="s">
        <v>16</v>
      </c>
      <c r="D239" s="70" t="s">
        <v>15</v>
      </c>
      <c r="E239" s="69" t="s">
        <v>14</v>
      </c>
    </row>
    <row r="240" spans="1:6" x14ac:dyDescent="0.3">
      <c r="A240" s="53" t="s">
        <v>54</v>
      </c>
      <c r="B240" s="37"/>
      <c r="C240" s="36" t="s">
        <v>50</v>
      </c>
      <c r="D240" s="163">
        <v>84.7</v>
      </c>
      <c r="E240" s="34">
        <f t="shared" ref="E240:E245" si="18">D240*B240</f>
        <v>0</v>
      </c>
    </row>
    <row r="241" spans="1:9" x14ac:dyDescent="0.3">
      <c r="A241" s="160" t="s">
        <v>53</v>
      </c>
      <c r="B241" s="140"/>
      <c r="C241" s="141" t="s">
        <v>50</v>
      </c>
      <c r="D241" s="163">
        <v>120</v>
      </c>
      <c r="E241" s="34">
        <f t="shared" si="18"/>
        <v>0</v>
      </c>
    </row>
    <row r="242" spans="1:9" x14ac:dyDescent="0.3">
      <c r="A242" s="160" t="s">
        <v>52</v>
      </c>
      <c r="B242" s="140"/>
      <c r="C242" s="141" t="s">
        <v>50</v>
      </c>
      <c r="D242" s="163">
        <v>77</v>
      </c>
      <c r="E242" s="34">
        <f t="shared" si="18"/>
        <v>0</v>
      </c>
    </row>
    <row r="243" spans="1:9" x14ac:dyDescent="0.3">
      <c r="A243" s="160" t="s">
        <v>51</v>
      </c>
      <c r="B243" s="140"/>
      <c r="C243" s="141" t="s">
        <v>50</v>
      </c>
      <c r="D243" s="163">
        <v>77</v>
      </c>
      <c r="E243" s="34">
        <f t="shared" si="18"/>
        <v>0</v>
      </c>
      <c r="F243" s="134"/>
    </row>
    <row r="244" spans="1:9" x14ac:dyDescent="0.3">
      <c r="A244" s="31" t="s">
        <v>9</v>
      </c>
      <c r="B244" s="33"/>
      <c r="C244" s="33"/>
      <c r="D244" s="32"/>
      <c r="E244" s="28">
        <f t="shared" si="18"/>
        <v>0</v>
      </c>
    </row>
    <row r="245" spans="1:9" x14ac:dyDescent="0.3">
      <c r="A245" s="31" t="s">
        <v>9</v>
      </c>
      <c r="B245" s="33"/>
      <c r="C245" s="33"/>
      <c r="D245" s="32"/>
      <c r="E245" s="28">
        <f t="shared" si="18"/>
        <v>0</v>
      </c>
    </row>
    <row r="246" spans="1:9" x14ac:dyDescent="0.3">
      <c r="A246" s="48" t="s">
        <v>49</v>
      </c>
      <c r="B246" s="47"/>
      <c r="C246" s="46"/>
      <c r="D246" s="45" t="s">
        <v>20</v>
      </c>
      <c r="E246" s="44">
        <f>SUM(E240:E245)</f>
        <v>0</v>
      </c>
    </row>
    <row r="247" spans="1:9" ht="15.6" x14ac:dyDescent="0.3">
      <c r="A247" s="143" t="s">
        <v>48</v>
      </c>
      <c r="B247" s="143"/>
      <c r="C247" s="143"/>
      <c r="D247" s="143"/>
      <c r="E247" s="143"/>
    </row>
    <row r="248" spans="1:9" s="54" customFormat="1" x14ac:dyDescent="0.3">
      <c r="A248" s="72" t="s">
        <v>18</v>
      </c>
      <c r="B248" s="71" t="s">
        <v>17</v>
      </c>
      <c r="C248" s="71" t="s">
        <v>16</v>
      </c>
      <c r="D248" s="70" t="s">
        <v>15</v>
      </c>
      <c r="E248" s="69" t="s">
        <v>14</v>
      </c>
      <c r="F248"/>
      <c r="G248"/>
      <c r="H248"/>
      <c r="I248"/>
    </row>
    <row r="249" spans="1:9" s="54" customFormat="1" x14ac:dyDescent="0.3">
      <c r="A249" s="31" t="s">
        <v>9</v>
      </c>
      <c r="B249" s="52"/>
      <c r="C249" s="52"/>
      <c r="D249" s="51"/>
      <c r="E249" s="28">
        <f t="shared" ref="E249:E251" si="19">D249*B249</f>
        <v>0</v>
      </c>
      <c r="F249"/>
      <c r="G249"/>
      <c r="H249"/>
      <c r="I249"/>
    </row>
    <row r="250" spans="1:9" x14ac:dyDescent="0.3">
      <c r="A250" s="31" t="s">
        <v>9</v>
      </c>
      <c r="B250" s="52"/>
      <c r="C250" s="52"/>
      <c r="D250" s="51"/>
      <c r="E250" s="28">
        <f t="shared" si="19"/>
        <v>0</v>
      </c>
    </row>
    <row r="251" spans="1:9" x14ac:dyDescent="0.3">
      <c r="A251" s="31" t="s">
        <v>9</v>
      </c>
      <c r="B251" s="52"/>
      <c r="C251" s="52"/>
      <c r="D251" s="51"/>
      <c r="E251" s="28">
        <f t="shared" si="19"/>
        <v>0</v>
      </c>
    </row>
    <row r="252" spans="1:9" ht="15" thickBot="1" x14ac:dyDescent="0.35">
      <c r="A252" s="48" t="s">
        <v>47</v>
      </c>
      <c r="B252" s="68"/>
      <c r="C252" s="37"/>
      <c r="D252" s="67"/>
      <c r="E252" s="44">
        <f>SUM(E249:E251)</f>
        <v>0</v>
      </c>
      <c r="F252" s="134"/>
    </row>
    <row r="253" spans="1:9" ht="19.2" thickTop="1" thickBot="1" x14ac:dyDescent="0.35">
      <c r="A253" s="66" t="s">
        <v>5</v>
      </c>
      <c r="B253" s="65"/>
      <c r="C253" s="65"/>
      <c r="D253" s="64"/>
      <c r="E253" s="63">
        <f>E228+E237+E246+E252</f>
        <v>0</v>
      </c>
    </row>
    <row r="254" spans="1:9" ht="24" thickTop="1" x14ac:dyDescent="0.3">
      <c r="A254" s="58"/>
      <c r="B254" s="58"/>
      <c r="C254" s="58"/>
      <c r="D254" s="58"/>
      <c r="E254" s="57"/>
    </row>
    <row r="255" spans="1:9" ht="18" x14ac:dyDescent="0.35">
      <c r="A255" s="152" t="s">
        <v>46</v>
      </c>
      <c r="B255" s="152"/>
      <c r="C255" s="152"/>
      <c r="D255" s="152"/>
      <c r="E255" s="152"/>
    </row>
    <row r="256" spans="1:9" ht="15.6" x14ac:dyDescent="0.3">
      <c r="A256" s="144" t="s">
        <v>45</v>
      </c>
      <c r="B256" s="144"/>
      <c r="C256" s="144"/>
      <c r="D256" s="144"/>
      <c r="E256" s="144"/>
    </row>
    <row r="257" spans="1:6" ht="18.45" customHeight="1" x14ac:dyDescent="0.3">
      <c r="A257" s="43" t="s">
        <v>18</v>
      </c>
      <c r="B257" s="42" t="s">
        <v>17</v>
      </c>
      <c r="C257" s="42" t="s">
        <v>16</v>
      </c>
      <c r="D257" s="41" t="s">
        <v>15</v>
      </c>
      <c r="E257" s="40" t="s">
        <v>14</v>
      </c>
    </row>
    <row r="258" spans="1:6" x14ac:dyDescent="0.3">
      <c r="A258" s="53" t="s">
        <v>44</v>
      </c>
      <c r="B258" s="39"/>
      <c r="C258" s="56" t="s">
        <v>12</v>
      </c>
      <c r="D258" s="157">
        <f>ROUNDUP(10.05,0)</f>
        <v>11</v>
      </c>
      <c r="E258" s="34">
        <f t="shared" ref="E258:E266" si="20">D258*B258</f>
        <v>0</v>
      </c>
      <c r="F258" s="134"/>
    </row>
    <row r="259" spans="1:6" ht="14.25" customHeight="1" x14ac:dyDescent="0.3">
      <c r="A259" s="53" t="s">
        <v>43</v>
      </c>
      <c r="B259" s="37"/>
      <c r="C259" s="36" t="s">
        <v>12</v>
      </c>
      <c r="D259" s="157">
        <f>ROUNDUP(15.075,1)</f>
        <v>15.1</v>
      </c>
      <c r="E259" s="34">
        <f t="shared" si="20"/>
        <v>0</v>
      </c>
    </row>
    <row r="260" spans="1:6" ht="14.25" customHeight="1" x14ac:dyDescent="0.3">
      <c r="A260" s="53" t="s">
        <v>42</v>
      </c>
      <c r="B260" s="37"/>
      <c r="C260" s="36" t="s">
        <v>12</v>
      </c>
      <c r="D260" s="157">
        <v>20.100000000000001</v>
      </c>
      <c r="E260" s="34">
        <f t="shared" si="20"/>
        <v>0</v>
      </c>
      <c r="F260" s="134"/>
    </row>
    <row r="261" spans="1:6" ht="14.25" customHeight="1" x14ac:dyDescent="0.3">
      <c r="A261" s="53" t="s">
        <v>41</v>
      </c>
      <c r="B261" s="37"/>
      <c r="C261" s="36" t="s">
        <v>12</v>
      </c>
      <c r="D261" s="157">
        <f>ROUNDUP(30.15,1)</f>
        <v>30.200000000000003</v>
      </c>
      <c r="E261" s="34">
        <f t="shared" si="20"/>
        <v>0</v>
      </c>
    </row>
    <row r="262" spans="1:6" ht="14.25" customHeight="1" x14ac:dyDescent="0.3">
      <c r="A262" s="53" t="s">
        <v>40</v>
      </c>
      <c r="B262" s="37"/>
      <c r="C262" s="36" t="s">
        <v>12</v>
      </c>
      <c r="D262" s="157">
        <f>ROUNDDOWN(25.125,1)</f>
        <v>25.1</v>
      </c>
      <c r="E262" s="34">
        <f t="shared" si="20"/>
        <v>0</v>
      </c>
    </row>
    <row r="263" spans="1:6" ht="14.25" customHeight="1" x14ac:dyDescent="0.3">
      <c r="A263" s="53" t="s">
        <v>39</v>
      </c>
      <c r="B263" s="37"/>
      <c r="C263" s="36" t="s">
        <v>12</v>
      </c>
      <c r="D263" s="157">
        <v>40.200000000000003</v>
      </c>
      <c r="E263" s="34">
        <f t="shared" si="20"/>
        <v>0</v>
      </c>
    </row>
    <row r="264" spans="1:6" ht="14.25" customHeight="1" x14ac:dyDescent="0.3">
      <c r="A264" s="53" t="s">
        <v>38</v>
      </c>
      <c r="B264" s="37"/>
      <c r="C264" s="36" t="s">
        <v>12</v>
      </c>
      <c r="D264" s="157">
        <f>ROUNDUP(50.25,1)</f>
        <v>50.300000000000004</v>
      </c>
      <c r="E264" s="34">
        <f t="shared" si="20"/>
        <v>0</v>
      </c>
    </row>
    <row r="265" spans="1:6" ht="14.25" customHeight="1" x14ac:dyDescent="0.3">
      <c r="A265" s="55" t="s">
        <v>206</v>
      </c>
      <c r="B265" s="37"/>
      <c r="C265" s="36" t="s">
        <v>12</v>
      </c>
      <c r="D265" s="157">
        <f>ROUNDDOWN(27.405,1)</f>
        <v>27.4</v>
      </c>
      <c r="E265" s="34">
        <f t="shared" si="20"/>
        <v>0</v>
      </c>
    </row>
    <row r="266" spans="1:6" x14ac:dyDescent="0.3">
      <c r="A266" s="53" t="s">
        <v>37</v>
      </c>
      <c r="B266" s="37"/>
      <c r="C266" s="36" t="s">
        <v>12</v>
      </c>
      <c r="D266" s="157">
        <f>ROUNDUP(34.25625,1)</f>
        <v>34.300000000000004</v>
      </c>
      <c r="E266" s="34">
        <f t="shared" si="20"/>
        <v>0</v>
      </c>
    </row>
    <row r="267" spans="1:6" x14ac:dyDescent="0.3">
      <c r="A267" s="31" t="s">
        <v>9</v>
      </c>
      <c r="B267" s="33"/>
      <c r="C267" s="33"/>
      <c r="D267" s="32"/>
      <c r="E267" s="34">
        <f>D267*B267</f>
        <v>0</v>
      </c>
    </row>
    <row r="268" spans="1:6" x14ac:dyDescent="0.3">
      <c r="A268" s="48" t="s">
        <v>36</v>
      </c>
      <c r="B268" s="47"/>
      <c r="C268" s="46"/>
      <c r="D268" s="45" t="s">
        <v>20</v>
      </c>
      <c r="E268" s="44">
        <f>SUM(E258:E267)</f>
        <v>0</v>
      </c>
    </row>
    <row r="269" spans="1:6" ht="15.6" x14ac:dyDescent="0.3">
      <c r="A269" s="144" t="s">
        <v>35</v>
      </c>
      <c r="B269" s="144"/>
      <c r="C269" s="144"/>
      <c r="D269" s="144"/>
      <c r="E269" s="144"/>
    </row>
    <row r="270" spans="1:6" x14ac:dyDescent="0.3">
      <c r="A270" s="43" t="s">
        <v>18</v>
      </c>
      <c r="B270" s="42" t="s">
        <v>17</v>
      </c>
      <c r="C270" s="42" t="s">
        <v>16</v>
      </c>
      <c r="D270" s="41" t="s">
        <v>15</v>
      </c>
      <c r="E270" s="40" t="s">
        <v>14</v>
      </c>
    </row>
    <row r="271" spans="1:6" x14ac:dyDescent="0.3">
      <c r="A271" s="158" t="s">
        <v>34</v>
      </c>
      <c r="B271" s="159"/>
      <c r="C271" s="141" t="s">
        <v>23</v>
      </c>
      <c r="D271" s="157">
        <f>ROUNDUP(43.75,1)</f>
        <v>43.800000000000004</v>
      </c>
      <c r="E271" s="34">
        <f t="shared" ref="E271:E276" si="21">D271*B271</f>
        <v>0</v>
      </c>
    </row>
    <row r="272" spans="1:6" x14ac:dyDescent="0.3">
      <c r="A272" s="160" t="s">
        <v>33</v>
      </c>
      <c r="B272" s="140"/>
      <c r="C272" s="141" t="s">
        <v>23</v>
      </c>
      <c r="D272" s="157">
        <f>ROUNDUP(61.25,1)</f>
        <v>61.300000000000004</v>
      </c>
      <c r="E272" s="34">
        <f t="shared" si="21"/>
        <v>0</v>
      </c>
    </row>
    <row r="273" spans="1:5" x14ac:dyDescent="0.3">
      <c r="A273" s="160" t="s">
        <v>32</v>
      </c>
      <c r="B273" s="140"/>
      <c r="C273" s="141" t="s">
        <v>23</v>
      </c>
      <c r="D273" s="157">
        <v>52.5</v>
      </c>
      <c r="E273" s="34">
        <f t="shared" si="21"/>
        <v>0</v>
      </c>
    </row>
    <row r="274" spans="1:5" x14ac:dyDescent="0.3">
      <c r="A274" s="53" t="s">
        <v>31</v>
      </c>
      <c r="B274" s="37"/>
      <c r="C274" s="36" t="s">
        <v>23</v>
      </c>
      <c r="D274" s="157">
        <f>ROUNDUP(43.75,1)</f>
        <v>43.800000000000004</v>
      </c>
      <c r="E274" s="34">
        <f t="shared" si="21"/>
        <v>0</v>
      </c>
    </row>
    <row r="275" spans="1:5" x14ac:dyDescent="0.3">
      <c r="A275" s="53" t="s">
        <v>30</v>
      </c>
      <c r="B275" s="37"/>
      <c r="C275" s="36" t="s">
        <v>10</v>
      </c>
      <c r="D275" s="157">
        <v>5175</v>
      </c>
      <c r="E275" s="34">
        <f t="shared" si="21"/>
        <v>0</v>
      </c>
    </row>
    <row r="276" spans="1:5" x14ac:dyDescent="0.3">
      <c r="A276" s="31" t="s">
        <v>9</v>
      </c>
      <c r="B276" s="33"/>
      <c r="C276" s="33"/>
      <c r="D276" s="32"/>
      <c r="E276" s="28">
        <f t="shared" si="21"/>
        <v>0</v>
      </c>
    </row>
    <row r="277" spans="1:5" x14ac:dyDescent="0.3">
      <c r="A277" s="48" t="s">
        <v>29</v>
      </c>
      <c r="B277" s="47"/>
      <c r="C277" s="46"/>
      <c r="D277" s="45" t="s">
        <v>20</v>
      </c>
      <c r="E277" s="44">
        <f>SUM(E271:E276)</f>
        <v>0</v>
      </c>
    </row>
    <row r="278" spans="1:5" ht="15.6" x14ac:dyDescent="0.3">
      <c r="A278" s="144" t="s">
        <v>28</v>
      </c>
      <c r="B278" s="144"/>
      <c r="C278" s="144"/>
      <c r="D278" s="144"/>
      <c r="E278" s="144"/>
    </row>
    <row r="279" spans="1:5" x14ac:dyDescent="0.3">
      <c r="A279" s="43" t="s">
        <v>18</v>
      </c>
      <c r="B279" s="42" t="s">
        <v>17</v>
      </c>
      <c r="C279" s="42" t="s">
        <v>16</v>
      </c>
      <c r="D279" s="41" t="s">
        <v>15</v>
      </c>
      <c r="E279" s="40" t="s">
        <v>14</v>
      </c>
    </row>
    <row r="280" spans="1:5" x14ac:dyDescent="0.3">
      <c r="A280" s="38" t="s">
        <v>192</v>
      </c>
      <c r="B280" s="39"/>
      <c r="C280" s="36" t="s">
        <v>23</v>
      </c>
      <c r="D280" s="162">
        <v>4.8449999999999998</v>
      </c>
      <c r="E280" s="34">
        <f t="shared" ref="E280:E285" si="22">D280*B280</f>
        <v>0</v>
      </c>
    </row>
    <row r="281" spans="1:5" x14ac:dyDescent="0.3">
      <c r="A281" s="38" t="s">
        <v>191</v>
      </c>
      <c r="B281" s="37"/>
      <c r="C281" s="36" t="s">
        <v>23</v>
      </c>
      <c r="D281" s="162">
        <v>6.46</v>
      </c>
      <c r="E281" s="34">
        <f t="shared" si="22"/>
        <v>0</v>
      </c>
    </row>
    <row r="282" spans="1:5" ht="13.8" customHeight="1" x14ac:dyDescent="0.3">
      <c r="A282" s="38" t="s">
        <v>190</v>
      </c>
      <c r="B282" s="50"/>
      <c r="C282" s="49" t="s">
        <v>23</v>
      </c>
      <c r="D282" s="162">
        <v>8.745000000000001</v>
      </c>
      <c r="E282" s="34">
        <f t="shared" si="22"/>
        <v>0</v>
      </c>
    </row>
    <row r="283" spans="1:5" ht="13.8" customHeight="1" x14ac:dyDescent="0.3">
      <c r="A283" s="38" t="s">
        <v>189</v>
      </c>
      <c r="B283" s="37"/>
      <c r="C283" s="36" t="s">
        <v>23</v>
      </c>
      <c r="D283" s="162">
        <f>ROUNDUP(21.525,1)</f>
        <v>21.6</v>
      </c>
      <c r="E283" s="34">
        <f t="shared" si="22"/>
        <v>0</v>
      </c>
    </row>
    <row r="284" spans="1:5" ht="13.8" customHeight="1" x14ac:dyDescent="0.3">
      <c r="A284" s="38" t="s">
        <v>22</v>
      </c>
      <c r="B284" s="37"/>
      <c r="C284" s="36" t="s">
        <v>10</v>
      </c>
      <c r="D284" s="162">
        <f>ROUNDUP(322.5,0)</f>
        <v>323</v>
      </c>
      <c r="E284" s="34">
        <f t="shared" si="22"/>
        <v>0</v>
      </c>
    </row>
    <row r="285" spans="1:5" ht="13.8" customHeight="1" x14ac:dyDescent="0.3">
      <c r="A285" s="31" t="s">
        <v>9</v>
      </c>
      <c r="B285" s="33"/>
      <c r="C285" s="33"/>
      <c r="D285" s="32"/>
      <c r="E285" s="28">
        <f t="shared" si="22"/>
        <v>0</v>
      </c>
    </row>
    <row r="286" spans="1:5" x14ac:dyDescent="0.3">
      <c r="A286" s="31" t="s">
        <v>9</v>
      </c>
      <c r="B286" s="33"/>
      <c r="C286" s="33"/>
      <c r="D286" s="32"/>
      <c r="E286" s="28">
        <f>D286*B286</f>
        <v>0</v>
      </c>
    </row>
    <row r="287" spans="1:5" x14ac:dyDescent="0.3">
      <c r="A287" s="48" t="s">
        <v>21</v>
      </c>
      <c r="B287" s="47"/>
      <c r="C287" s="46"/>
      <c r="D287" s="45" t="s">
        <v>20</v>
      </c>
      <c r="E287" s="44">
        <f>SUM(E280:E286)</f>
        <v>0</v>
      </c>
    </row>
    <row r="288" spans="1:5" ht="15.6" x14ac:dyDescent="0.3">
      <c r="A288" s="144" t="s">
        <v>19</v>
      </c>
      <c r="B288" s="144"/>
      <c r="C288" s="144"/>
      <c r="D288" s="144"/>
      <c r="E288" s="144"/>
    </row>
    <row r="289" spans="1:6" x14ac:dyDescent="0.3">
      <c r="A289" s="43" t="s">
        <v>18</v>
      </c>
      <c r="B289" s="42" t="s">
        <v>17</v>
      </c>
      <c r="C289" s="42" t="s">
        <v>16</v>
      </c>
      <c r="D289" s="41" t="s">
        <v>15</v>
      </c>
      <c r="E289" s="40" t="s">
        <v>14</v>
      </c>
    </row>
    <row r="290" spans="1:6" x14ac:dyDescent="0.3">
      <c r="A290" s="38" t="s">
        <v>13</v>
      </c>
      <c r="B290" s="39"/>
      <c r="C290" s="36" t="s">
        <v>12</v>
      </c>
      <c r="D290" s="162">
        <f>ROUNDUP(112.5,0)</f>
        <v>113</v>
      </c>
      <c r="E290" s="34">
        <f>D290*B290</f>
        <v>0</v>
      </c>
    </row>
    <row r="291" spans="1:6" x14ac:dyDescent="0.3">
      <c r="A291" s="38" t="s">
        <v>11</v>
      </c>
      <c r="B291" s="37"/>
      <c r="C291" s="36" t="s">
        <v>10</v>
      </c>
      <c r="D291" s="162">
        <v>612</v>
      </c>
      <c r="E291" s="34">
        <f>D291*B291</f>
        <v>0</v>
      </c>
    </row>
    <row r="292" spans="1:6" x14ac:dyDescent="0.3">
      <c r="A292" s="31" t="s">
        <v>9</v>
      </c>
      <c r="B292" s="33"/>
      <c r="C292" s="33"/>
      <c r="D292" s="32"/>
      <c r="E292" s="34">
        <f>D292*B292</f>
        <v>0</v>
      </c>
    </row>
    <row r="293" spans="1:6" ht="15" thickBot="1" x14ac:dyDescent="0.35">
      <c r="A293" s="27" t="s">
        <v>8</v>
      </c>
      <c r="B293" s="26"/>
      <c r="C293" s="26"/>
      <c r="D293" s="25"/>
      <c r="E293" s="24">
        <f>SUM(E290:E292)</f>
        <v>0</v>
      </c>
    </row>
    <row r="294" spans="1:6" ht="19.2" thickTop="1" thickBot="1" x14ac:dyDescent="0.35">
      <c r="A294" s="23" t="s">
        <v>4</v>
      </c>
      <c r="B294" s="22"/>
      <c r="C294" s="22"/>
      <c r="D294" s="21"/>
      <c r="E294" s="20">
        <f>E268+E277+E287+E293</f>
        <v>0</v>
      </c>
      <c r="F294" s="76"/>
    </row>
    <row r="295" spans="1:6" ht="15" thickTop="1" x14ac:dyDescent="0.3">
      <c r="F295" s="76"/>
    </row>
    <row r="296" spans="1:6" x14ac:dyDescent="0.3">
      <c r="B296"/>
      <c r="C296"/>
      <c r="D296"/>
      <c r="E296"/>
    </row>
    <row r="297" spans="1:6" x14ac:dyDescent="0.3">
      <c r="A297" s="11" t="s">
        <v>7</v>
      </c>
      <c r="B297" s="15"/>
      <c r="C297" s="15"/>
      <c r="D297" s="14"/>
      <c r="E297" s="13">
        <f>E72</f>
        <v>0</v>
      </c>
    </row>
    <row r="298" spans="1:6" x14ac:dyDescent="0.3">
      <c r="A298" s="11" t="s">
        <v>6</v>
      </c>
      <c r="B298" s="15"/>
      <c r="C298" s="15"/>
      <c r="D298" s="14"/>
      <c r="E298" s="13">
        <f>E197</f>
        <v>0</v>
      </c>
    </row>
    <row r="299" spans="1:6" x14ac:dyDescent="0.3">
      <c r="A299" s="11" t="s">
        <v>5</v>
      </c>
      <c r="B299" s="15"/>
      <c r="C299" s="15"/>
      <c r="D299" s="14"/>
      <c r="E299" s="13">
        <f>E253</f>
        <v>0</v>
      </c>
    </row>
    <row r="300" spans="1:6" ht="16.2" x14ac:dyDescent="0.3">
      <c r="A300" s="11" t="s">
        <v>4</v>
      </c>
      <c r="B300" s="15"/>
      <c r="C300" s="15"/>
      <c r="D300" s="14"/>
      <c r="E300" s="165">
        <f>E294</f>
        <v>0</v>
      </c>
    </row>
    <row r="301" spans="1:6" x14ac:dyDescent="0.3">
      <c r="A301" s="11"/>
      <c r="B301" s="15"/>
      <c r="C301" s="15"/>
      <c r="D301" s="14"/>
      <c r="E301" s="13">
        <f>SUM(E297:E300)</f>
        <v>0</v>
      </c>
    </row>
    <row r="302" spans="1:6" x14ac:dyDescent="0.3">
      <c r="A302" s="11"/>
      <c r="B302" s="169" t="s">
        <v>3</v>
      </c>
      <c r="C302" s="169"/>
      <c r="D302" s="169"/>
      <c r="E302" s="12">
        <v>0.25</v>
      </c>
    </row>
    <row r="303" spans="1:6" ht="15" thickBot="1" x14ac:dyDescent="0.35">
      <c r="A303" s="11"/>
      <c r="B303" s="10"/>
      <c r="C303" s="10"/>
      <c r="D303" s="10"/>
      <c r="E303" s="9"/>
    </row>
    <row r="304" spans="1:6" ht="19.2" thickTop="1" thickBot="1" x14ac:dyDescent="0.35">
      <c r="A304" s="8" t="s">
        <v>2</v>
      </c>
      <c r="B304" s="167" t="s">
        <v>1</v>
      </c>
      <c r="C304" s="168"/>
      <c r="D304" s="168"/>
      <c r="E304" s="7">
        <f>E301*0.25</f>
        <v>0</v>
      </c>
    </row>
    <row r="305" spans="1:5" ht="18.600000000000001" thickTop="1" x14ac:dyDescent="0.3">
      <c r="A305" s="6"/>
      <c r="B305" s="5"/>
      <c r="C305" s="5"/>
      <c r="D305" s="5"/>
      <c r="E305" s="4"/>
    </row>
    <row r="306" spans="1:5" ht="18" x14ac:dyDescent="0.3">
      <c r="A306" s="6"/>
      <c r="B306" s="5"/>
      <c r="C306" s="5"/>
      <c r="D306" s="5"/>
      <c r="E306" s="4"/>
    </row>
    <row r="307" spans="1:5" ht="18" x14ac:dyDescent="0.3">
      <c r="A307" s="6"/>
      <c r="B307" s="5"/>
      <c r="C307" s="5"/>
      <c r="D307" s="5"/>
      <c r="E307" s="4"/>
    </row>
    <row r="308" spans="1:5" ht="18" x14ac:dyDescent="0.3">
      <c r="A308" s="6"/>
      <c r="B308" s="5"/>
      <c r="C308" s="5"/>
      <c r="D308" s="5"/>
      <c r="E308" s="4"/>
    </row>
    <row r="309" spans="1:5" ht="18" x14ac:dyDescent="0.3">
      <c r="A309" s="6"/>
      <c r="B309" s="5"/>
      <c r="C309" s="5"/>
      <c r="D309" s="5"/>
      <c r="E309" s="4"/>
    </row>
    <row r="310" spans="1:5" ht="18" x14ac:dyDescent="0.3">
      <c r="A310" s="6"/>
      <c r="B310" s="5"/>
      <c r="C310" s="5"/>
      <c r="D310" s="5"/>
      <c r="E310" s="4"/>
    </row>
    <row r="311" spans="1:5" ht="18" x14ac:dyDescent="0.3">
      <c r="A311" s="6"/>
      <c r="B311" s="5"/>
      <c r="C311" s="5"/>
      <c r="D311" s="5"/>
      <c r="E311" s="4"/>
    </row>
    <row r="312" spans="1:5" ht="18" x14ac:dyDescent="0.3">
      <c r="A312" s="6"/>
      <c r="B312" s="5"/>
      <c r="C312" s="5"/>
      <c r="D312" s="5"/>
      <c r="E312" s="4"/>
    </row>
    <row r="313" spans="1:5" ht="18" x14ac:dyDescent="0.3">
      <c r="A313" s="6"/>
      <c r="B313" s="5"/>
      <c r="C313" s="5"/>
      <c r="D313" s="5"/>
      <c r="E313" s="4"/>
    </row>
  </sheetData>
  <sheetProtection algorithmName="SHA-512" hashValue="D+WDD1STHKBaZSS4RU13puBfTRTI7mxr8gq7lVTqUzWhrhmr2uXyn8ImiBYcWCgeUdViuaQ99NGZznuth9akMA==" saltValue="NKz3MaRkIsGqHm4JHf9mDA==" spinCount="100000" sheet="1" insertRows="0" selectLockedCells="1"/>
  <mergeCells count="13">
    <mergeCell ref="D1:E1"/>
    <mergeCell ref="D2:E2"/>
    <mergeCell ref="D3:E3"/>
    <mergeCell ref="B7:E7"/>
    <mergeCell ref="B8:E8"/>
    <mergeCell ref="B304:D304"/>
    <mergeCell ref="B302:D302"/>
    <mergeCell ref="A31:E31"/>
    <mergeCell ref="A47:E47"/>
    <mergeCell ref="A9:E9"/>
    <mergeCell ref="A11:E11"/>
    <mergeCell ref="A13:E13"/>
    <mergeCell ref="A14:E14"/>
  </mergeCells>
  <pageMargins left="0.5" right="0.5" top="0.5" bottom="0.5" header="0.3" footer="0.3"/>
  <pageSetup scale="85" fitToHeight="0" orientation="portrait" r:id="rId1"/>
  <headerFooter>
    <oddFooter>&amp;L&amp;"-,Italic"&amp;9Last update: 06-2024&amp;RPage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04FA-0A13-4395-B137-9A782A93FBA4}">
  <sheetPr>
    <pageSetUpPr fitToPage="1"/>
  </sheetPr>
  <dimension ref="A1:F74"/>
  <sheetViews>
    <sheetView showGridLines="0" zoomScaleNormal="100" workbookViewId="0">
      <selection activeCell="A47" sqref="A47"/>
    </sheetView>
  </sheetViews>
  <sheetFormatPr defaultColWidth="9" defaultRowHeight="14.4" x14ac:dyDescent="0.3"/>
  <cols>
    <col min="1" max="1" width="52.6640625" customWidth="1"/>
    <col min="2" max="2" width="10.6640625" style="3" customWidth="1"/>
    <col min="3" max="3" width="11.109375" style="3" customWidth="1"/>
    <col min="4" max="4" width="13.44140625" style="2" customWidth="1"/>
    <col min="5" max="5" width="19.88671875" style="1" customWidth="1"/>
    <col min="6" max="6" width="13.5546875" bestFit="1" customWidth="1"/>
    <col min="7" max="7" width="9.6640625" bestFit="1" customWidth="1"/>
    <col min="8" max="8" width="6.33203125" bestFit="1" customWidth="1"/>
    <col min="9" max="9" width="4" bestFit="1" customWidth="1"/>
    <col min="10" max="10" width="5.33203125" bestFit="1" customWidth="1"/>
    <col min="11" max="11" width="5.88671875" bestFit="1" customWidth="1"/>
    <col min="12" max="13" width="7.6640625" bestFit="1" customWidth="1"/>
  </cols>
  <sheetData>
    <row r="1" spans="1:5" ht="15.6" x14ac:dyDescent="0.3">
      <c r="A1" s="112"/>
      <c r="D1" s="178" t="s">
        <v>153</v>
      </c>
      <c r="E1" s="178"/>
    </row>
    <row r="2" spans="1:5" ht="15.6" x14ac:dyDescent="0.3">
      <c r="D2" s="179" t="s">
        <v>162</v>
      </c>
      <c r="E2" s="179"/>
    </row>
    <row r="3" spans="1:5" ht="15.6" x14ac:dyDescent="0.3">
      <c r="D3" s="179" t="s">
        <v>152</v>
      </c>
      <c r="E3" s="179"/>
    </row>
    <row r="4" spans="1:5" ht="15.6" x14ac:dyDescent="0.3">
      <c r="D4" s="111"/>
      <c r="E4" s="110" t="s">
        <v>207</v>
      </c>
    </row>
    <row r="6" spans="1:5" ht="18" x14ac:dyDescent="0.3">
      <c r="A6" s="109" t="s">
        <v>151</v>
      </c>
      <c r="B6" s="192" t="s">
        <v>0</v>
      </c>
      <c r="C6" s="193"/>
      <c r="D6" s="193"/>
      <c r="E6" s="194"/>
    </row>
    <row r="7" spans="1:5" ht="18" x14ac:dyDescent="0.3">
      <c r="A7" s="109" t="s">
        <v>150</v>
      </c>
      <c r="B7" s="192" t="s">
        <v>0</v>
      </c>
      <c r="C7" s="193"/>
      <c r="D7" s="193"/>
      <c r="E7" s="194"/>
    </row>
    <row r="8" spans="1:5" ht="12.9" customHeight="1" thickBot="1" x14ac:dyDescent="0.35">
      <c r="A8" s="185"/>
      <c r="B8" s="185"/>
      <c r="C8" s="185"/>
      <c r="D8" s="185"/>
      <c r="E8" s="185"/>
    </row>
    <row r="9" spans="1:5" ht="9.6" customHeight="1" thickTop="1" x14ac:dyDescent="0.3">
      <c r="A9" s="108"/>
      <c r="B9" s="108"/>
      <c r="C9" s="108"/>
      <c r="D9" s="108"/>
      <c r="E9" s="108"/>
    </row>
    <row r="10" spans="1:5" s="54" customFormat="1" ht="23.4" x14ac:dyDescent="0.3">
      <c r="A10" s="175" t="s">
        <v>161</v>
      </c>
      <c r="B10" s="175"/>
      <c r="C10" s="175"/>
      <c r="D10" s="175"/>
      <c r="E10" s="175"/>
    </row>
    <row r="11" spans="1:5" x14ac:dyDescent="0.3">
      <c r="A11" s="106"/>
      <c r="B11" s="131"/>
      <c r="C11" s="131"/>
      <c r="D11" s="130"/>
      <c r="E11" s="129"/>
    </row>
    <row r="12" spans="1:5" ht="18.45" customHeight="1" x14ac:dyDescent="0.35">
      <c r="A12" s="186" t="s">
        <v>46</v>
      </c>
      <c r="B12" s="186"/>
      <c r="C12" s="186"/>
      <c r="D12" s="186"/>
      <c r="E12" s="186"/>
    </row>
    <row r="13" spans="1:5" ht="18.45" customHeight="1" x14ac:dyDescent="0.3">
      <c r="A13" s="187" t="s">
        <v>160</v>
      </c>
      <c r="B13" s="187"/>
      <c r="C13" s="187"/>
      <c r="D13" s="187"/>
      <c r="E13" s="187"/>
    </row>
    <row r="14" spans="1:5" x14ac:dyDescent="0.3">
      <c r="A14" s="128" t="s">
        <v>18</v>
      </c>
      <c r="B14" s="127" t="s">
        <v>17</v>
      </c>
      <c r="C14" s="127" t="s">
        <v>16</v>
      </c>
      <c r="D14" s="126" t="s">
        <v>15</v>
      </c>
      <c r="E14" s="125" t="s">
        <v>14</v>
      </c>
    </row>
    <row r="15" spans="1:5" s="88" customFormat="1" x14ac:dyDescent="0.3">
      <c r="A15" s="53" t="s">
        <v>44</v>
      </c>
      <c r="B15" s="39"/>
      <c r="C15" s="56" t="s">
        <v>12</v>
      </c>
      <c r="D15" s="132">
        <v>11</v>
      </c>
      <c r="E15" s="34">
        <f t="shared" ref="E15:E28" si="0">D15*B15</f>
        <v>0</v>
      </c>
    </row>
    <row r="16" spans="1:5" x14ac:dyDescent="0.3">
      <c r="A16" s="53" t="s">
        <v>43</v>
      </c>
      <c r="B16" s="37"/>
      <c r="C16" s="36" t="s">
        <v>12</v>
      </c>
      <c r="D16" s="132">
        <v>15.1</v>
      </c>
      <c r="E16" s="34">
        <f t="shared" si="0"/>
        <v>0</v>
      </c>
    </row>
    <row r="17" spans="1:6" x14ac:dyDescent="0.3">
      <c r="A17" s="53" t="s">
        <v>42</v>
      </c>
      <c r="B17" s="37"/>
      <c r="C17" s="36" t="s">
        <v>12</v>
      </c>
      <c r="D17" s="132">
        <v>20.100000000000001</v>
      </c>
      <c r="E17" s="34">
        <f t="shared" si="0"/>
        <v>0</v>
      </c>
    </row>
    <row r="18" spans="1:6" x14ac:dyDescent="0.3">
      <c r="A18" s="53" t="s">
        <v>41</v>
      </c>
      <c r="B18" s="37"/>
      <c r="C18" s="36" t="s">
        <v>12</v>
      </c>
      <c r="D18" s="132">
        <v>30.2</v>
      </c>
      <c r="E18" s="34">
        <f t="shared" si="0"/>
        <v>0</v>
      </c>
    </row>
    <row r="19" spans="1:6" x14ac:dyDescent="0.3">
      <c r="A19" s="53" t="s">
        <v>40</v>
      </c>
      <c r="B19" s="37"/>
      <c r="C19" s="36" t="s">
        <v>12</v>
      </c>
      <c r="D19" s="132">
        <v>25.1</v>
      </c>
      <c r="E19" s="34">
        <f t="shared" si="0"/>
        <v>0</v>
      </c>
    </row>
    <row r="20" spans="1:6" x14ac:dyDescent="0.3">
      <c r="A20" s="53" t="s">
        <v>39</v>
      </c>
      <c r="B20" s="37"/>
      <c r="C20" s="36" t="s">
        <v>12</v>
      </c>
      <c r="D20" s="132">
        <v>40.200000000000003</v>
      </c>
      <c r="E20" s="34">
        <f t="shared" si="0"/>
        <v>0</v>
      </c>
    </row>
    <row r="21" spans="1:6" x14ac:dyDescent="0.3">
      <c r="A21" s="53" t="s">
        <v>38</v>
      </c>
      <c r="B21" s="37"/>
      <c r="C21" s="36" t="s">
        <v>12</v>
      </c>
      <c r="D21" s="132">
        <v>50.3</v>
      </c>
      <c r="E21" s="34">
        <f t="shared" si="0"/>
        <v>0</v>
      </c>
    </row>
    <row r="22" spans="1:6" x14ac:dyDescent="0.3">
      <c r="A22" s="53" t="s">
        <v>159</v>
      </c>
      <c r="B22" s="37"/>
      <c r="C22" s="36" t="s">
        <v>12</v>
      </c>
      <c r="D22" s="132">
        <v>27.4</v>
      </c>
      <c r="E22" s="34">
        <f t="shared" si="0"/>
        <v>0</v>
      </c>
    </row>
    <row r="23" spans="1:6" x14ac:dyDescent="0.3">
      <c r="A23" s="53" t="s">
        <v>37</v>
      </c>
      <c r="B23" s="37"/>
      <c r="C23" s="36" t="s">
        <v>12</v>
      </c>
      <c r="D23" s="132">
        <v>34.299999999999997</v>
      </c>
      <c r="E23" s="34">
        <f t="shared" si="0"/>
        <v>0</v>
      </c>
      <c r="F23" s="88"/>
    </row>
    <row r="24" spans="1:6" x14ac:dyDescent="0.3">
      <c r="A24" s="53" t="s">
        <v>158</v>
      </c>
      <c r="B24" s="37"/>
      <c r="C24" s="36" t="s">
        <v>12</v>
      </c>
      <c r="D24" s="35">
        <v>5</v>
      </c>
      <c r="E24" s="34">
        <f t="shared" si="0"/>
        <v>0</v>
      </c>
    </row>
    <row r="25" spans="1:6" x14ac:dyDescent="0.3">
      <c r="A25" s="53" t="s">
        <v>157</v>
      </c>
      <c r="B25" s="37"/>
      <c r="C25" s="36" t="s">
        <v>10</v>
      </c>
      <c r="D25" s="35">
        <v>750</v>
      </c>
      <c r="E25" s="34">
        <f t="shared" si="0"/>
        <v>0</v>
      </c>
      <c r="F25" s="88"/>
    </row>
    <row r="26" spans="1:6" x14ac:dyDescent="0.3">
      <c r="A26" s="53" t="s">
        <v>156</v>
      </c>
      <c r="B26" s="37"/>
      <c r="C26" s="36" t="s">
        <v>10</v>
      </c>
      <c r="D26" s="35">
        <v>850</v>
      </c>
      <c r="E26" s="34">
        <f t="shared" si="0"/>
        <v>0</v>
      </c>
    </row>
    <row r="27" spans="1:6" x14ac:dyDescent="0.3">
      <c r="A27" s="31" t="s">
        <v>9</v>
      </c>
      <c r="B27" s="52"/>
      <c r="C27" s="52"/>
      <c r="D27" s="51"/>
      <c r="E27" s="28">
        <f t="shared" si="0"/>
        <v>0</v>
      </c>
    </row>
    <row r="28" spans="1:6" ht="15" customHeight="1" x14ac:dyDescent="0.3">
      <c r="A28" s="31" t="s">
        <v>9</v>
      </c>
      <c r="B28" s="33"/>
      <c r="C28" s="33"/>
      <c r="D28" s="32"/>
      <c r="E28" s="28">
        <f t="shared" si="0"/>
        <v>0</v>
      </c>
    </row>
    <row r="29" spans="1:6" x14ac:dyDescent="0.3">
      <c r="A29" s="48" t="s">
        <v>36</v>
      </c>
      <c r="B29" s="47"/>
      <c r="C29" s="46"/>
      <c r="D29" s="45" t="s">
        <v>20</v>
      </c>
      <c r="E29" s="44">
        <f>SUM(E15:E28)</f>
        <v>0</v>
      </c>
    </row>
    <row r="30" spans="1:6" ht="18.45" customHeight="1" x14ac:dyDescent="0.3">
      <c r="A30" s="188" t="s">
        <v>35</v>
      </c>
      <c r="B30" s="188"/>
      <c r="C30" s="188"/>
      <c r="D30" s="188"/>
      <c r="E30" s="188"/>
    </row>
    <row r="31" spans="1:6" x14ac:dyDescent="0.3">
      <c r="A31" s="43" t="s">
        <v>18</v>
      </c>
      <c r="B31" s="42" t="s">
        <v>17</v>
      </c>
      <c r="C31" s="42" t="s">
        <v>16</v>
      </c>
      <c r="D31" s="41" t="s">
        <v>15</v>
      </c>
      <c r="E31" s="40" t="s">
        <v>14</v>
      </c>
    </row>
    <row r="32" spans="1:6" x14ac:dyDescent="0.3">
      <c r="A32" s="38" t="s">
        <v>34</v>
      </c>
      <c r="B32" s="39"/>
      <c r="C32" s="36" t="s">
        <v>23</v>
      </c>
      <c r="D32" s="132">
        <v>43.8</v>
      </c>
      <c r="E32" s="34">
        <f t="shared" ref="E32:E38" si="1">D32*B32</f>
        <v>0</v>
      </c>
    </row>
    <row r="33" spans="1:5" x14ac:dyDescent="0.3">
      <c r="A33" s="53" t="s">
        <v>33</v>
      </c>
      <c r="B33" s="37"/>
      <c r="C33" s="36" t="s">
        <v>23</v>
      </c>
      <c r="D33" s="132">
        <v>61.3</v>
      </c>
      <c r="E33" s="34">
        <f t="shared" si="1"/>
        <v>0</v>
      </c>
    </row>
    <row r="34" spans="1:5" x14ac:dyDescent="0.3">
      <c r="A34" s="53" t="s">
        <v>32</v>
      </c>
      <c r="B34" s="37"/>
      <c r="C34" s="36" t="s">
        <v>23</v>
      </c>
      <c r="D34" s="132">
        <v>52.5</v>
      </c>
      <c r="E34" s="34">
        <f t="shared" si="1"/>
        <v>0</v>
      </c>
    </row>
    <row r="35" spans="1:5" x14ac:dyDescent="0.3">
      <c r="A35" s="53" t="s">
        <v>31</v>
      </c>
      <c r="B35" s="37"/>
      <c r="C35" s="36" t="s">
        <v>23</v>
      </c>
      <c r="D35" s="132">
        <v>43.8</v>
      </c>
      <c r="E35" s="34">
        <f t="shared" si="1"/>
        <v>0</v>
      </c>
    </row>
    <row r="36" spans="1:5" x14ac:dyDescent="0.3">
      <c r="A36" s="53" t="s">
        <v>30</v>
      </c>
      <c r="B36" s="37"/>
      <c r="C36" s="36" t="s">
        <v>10</v>
      </c>
      <c r="D36" s="132">
        <v>5175</v>
      </c>
      <c r="E36" s="34">
        <f t="shared" si="1"/>
        <v>0</v>
      </c>
    </row>
    <row r="37" spans="1:5" x14ac:dyDescent="0.3">
      <c r="A37" s="31" t="s">
        <v>9</v>
      </c>
      <c r="B37" s="33"/>
      <c r="C37" s="33"/>
      <c r="D37" s="32"/>
      <c r="E37" s="28">
        <f t="shared" si="1"/>
        <v>0</v>
      </c>
    </row>
    <row r="38" spans="1:5" x14ac:dyDescent="0.3">
      <c r="A38" s="31" t="s">
        <v>9</v>
      </c>
      <c r="B38" s="33"/>
      <c r="C38" s="33"/>
      <c r="D38" s="32"/>
      <c r="E38" s="28">
        <f t="shared" si="1"/>
        <v>0</v>
      </c>
    </row>
    <row r="39" spans="1:5" x14ac:dyDescent="0.3">
      <c r="A39" s="48" t="s">
        <v>29</v>
      </c>
      <c r="B39" s="47"/>
      <c r="C39" s="46"/>
      <c r="D39" s="45" t="s">
        <v>20</v>
      </c>
      <c r="E39" s="44">
        <f>SUM(E32:E38)</f>
        <v>0</v>
      </c>
    </row>
    <row r="40" spans="1:5" ht="18.45" customHeight="1" x14ac:dyDescent="0.3">
      <c r="A40" s="189" t="s">
        <v>28</v>
      </c>
      <c r="B40" s="190"/>
      <c r="C40" s="190"/>
      <c r="D40" s="190"/>
      <c r="E40" s="191"/>
    </row>
    <row r="41" spans="1:5" x14ac:dyDescent="0.3">
      <c r="A41" s="43" t="s">
        <v>18</v>
      </c>
      <c r="B41" s="42" t="s">
        <v>17</v>
      </c>
      <c r="C41" s="42" t="s">
        <v>16</v>
      </c>
      <c r="D41" s="41" t="s">
        <v>15</v>
      </c>
      <c r="E41" s="40" t="s">
        <v>14</v>
      </c>
    </row>
    <row r="42" spans="1:5" x14ac:dyDescent="0.3">
      <c r="A42" s="38" t="s">
        <v>27</v>
      </c>
      <c r="B42" s="39"/>
      <c r="C42" s="36" t="s">
        <v>23</v>
      </c>
      <c r="D42" s="132">
        <v>4.8499999999999996</v>
      </c>
      <c r="E42" s="34">
        <f t="shared" ref="E42:E48" si="2">D42*B42</f>
        <v>0</v>
      </c>
    </row>
    <row r="43" spans="1:5" x14ac:dyDescent="0.3">
      <c r="A43" s="38" t="s">
        <v>26</v>
      </c>
      <c r="B43" s="37"/>
      <c r="C43" s="36" t="s">
        <v>23</v>
      </c>
      <c r="D43" s="132">
        <v>6.46</v>
      </c>
      <c r="E43" s="34">
        <f t="shared" si="2"/>
        <v>0</v>
      </c>
    </row>
    <row r="44" spans="1:5" x14ac:dyDescent="0.3">
      <c r="A44" s="38" t="s">
        <v>25</v>
      </c>
      <c r="B44" s="50"/>
      <c r="C44" s="49" t="s">
        <v>23</v>
      </c>
      <c r="D44" s="132">
        <v>8.75</v>
      </c>
      <c r="E44" s="34">
        <f t="shared" si="2"/>
        <v>0</v>
      </c>
    </row>
    <row r="45" spans="1:5" ht="14.25" customHeight="1" x14ac:dyDescent="0.3">
      <c r="A45" s="38" t="s">
        <v>24</v>
      </c>
      <c r="B45" s="37"/>
      <c r="C45" s="36" t="s">
        <v>23</v>
      </c>
      <c r="D45" s="132">
        <v>21.6</v>
      </c>
      <c r="E45" s="34">
        <f t="shared" si="2"/>
        <v>0</v>
      </c>
    </row>
    <row r="46" spans="1:5" x14ac:dyDescent="0.3">
      <c r="A46" s="38" t="s">
        <v>22</v>
      </c>
      <c r="B46" s="37"/>
      <c r="C46" s="36" t="s">
        <v>10</v>
      </c>
      <c r="D46" s="132">
        <v>323</v>
      </c>
      <c r="E46" s="34">
        <f t="shared" si="2"/>
        <v>0</v>
      </c>
    </row>
    <row r="47" spans="1:5" x14ac:dyDescent="0.3">
      <c r="A47" s="31" t="s">
        <v>9</v>
      </c>
      <c r="B47" s="33"/>
      <c r="C47" s="33"/>
      <c r="D47" s="32"/>
      <c r="E47" s="28">
        <f t="shared" si="2"/>
        <v>0</v>
      </c>
    </row>
    <row r="48" spans="1:5" x14ac:dyDescent="0.3">
      <c r="A48" s="31" t="s">
        <v>9</v>
      </c>
      <c r="B48" s="33"/>
      <c r="C48" s="33"/>
      <c r="D48" s="32"/>
      <c r="E48" s="28">
        <f t="shared" si="2"/>
        <v>0</v>
      </c>
    </row>
    <row r="49" spans="1:5" x14ac:dyDescent="0.3">
      <c r="A49" s="48" t="s">
        <v>21</v>
      </c>
      <c r="B49" s="47"/>
      <c r="C49" s="47"/>
      <c r="D49" s="85" t="s">
        <v>20</v>
      </c>
      <c r="E49" s="44">
        <f>SUM(E42:E48)</f>
        <v>0</v>
      </c>
    </row>
    <row r="50" spans="1:5" ht="18.45" customHeight="1" x14ac:dyDescent="0.3">
      <c r="A50" s="188" t="s">
        <v>19</v>
      </c>
      <c r="B50" s="188"/>
      <c r="C50" s="188"/>
      <c r="D50" s="188"/>
      <c r="E50" s="188"/>
    </row>
    <row r="51" spans="1:5" x14ac:dyDescent="0.3">
      <c r="A51" s="43" t="s">
        <v>18</v>
      </c>
      <c r="B51" s="42" t="s">
        <v>17</v>
      </c>
      <c r="C51" s="42" t="s">
        <v>16</v>
      </c>
      <c r="D51" s="41" t="s">
        <v>15</v>
      </c>
      <c r="E51" s="40" t="s">
        <v>14</v>
      </c>
    </row>
    <row r="52" spans="1:5" x14ac:dyDescent="0.3">
      <c r="A52" s="38" t="s">
        <v>13</v>
      </c>
      <c r="B52" s="39"/>
      <c r="C52" s="36" t="s">
        <v>12</v>
      </c>
      <c r="D52" s="35">
        <v>113</v>
      </c>
      <c r="E52" s="34">
        <f>D52*B52</f>
        <v>0</v>
      </c>
    </row>
    <row r="53" spans="1:5" x14ac:dyDescent="0.3">
      <c r="A53" s="38" t="s">
        <v>11</v>
      </c>
      <c r="B53" s="37"/>
      <c r="C53" s="36" t="s">
        <v>10</v>
      </c>
      <c r="D53" s="35">
        <v>612</v>
      </c>
      <c r="E53" s="34">
        <f>D53*B53</f>
        <v>0</v>
      </c>
    </row>
    <row r="54" spans="1:5" x14ac:dyDescent="0.3">
      <c r="A54" s="31" t="s">
        <v>9</v>
      </c>
      <c r="B54" s="30"/>
      <c r="C54" s="30"/>
      <c r="D54" s="29"/>
      <c r="E54" s="28">
        <f>D54*B54</f>
        <v>0</v>
      </c>
    </row>
    <row r="55" spans="1:5" x14ac:dyDescent="0.3">
      <c r="A55" s="31" t="s">
        <v>9</v>
      </c>
      <c r="B55" s="124"/>
      <c r="C55" s="124"/>
      <c r="D55" s="123"/>
      <c r="E55" s="28">
        <f>D55*B55</f>
        <v>0</v>
      </c>
    </row>
    <row r="56" spans="1:5" x14ac:dyDescent="0.3">
      <c r="A56" s="31" t="s">
        <v>9</v>
      </c>
      <c r="B56" s="124"/>
      <c r="C56" s="124"/>
      <c r="D56" s="123"/>
      <c r="E56" s="28">
        <f>D56*B56</f>
        <v>0</v>
      </c>
    </row>
    <row r="57" spans="1:5" ht="15" thickBot="1" x14ac:dyDescent="0.35">
      <c r="A57" s="122" t="s">
        <v>8</v>
      </c>
      <c r="B57" s="121"/>
      <c r="C57" s="120"/>
      <c r="D57" s="119"/>
      <c r="E57" s="24">
        <f>SUM(E52:E56)</f>
        <v>0</v>
      </c>
    </row>
    <row r="58" spans="1:5" ht="19.2" thickTop="1" thickBot="1" x14ac:dyDescent="0.35">
      <c r="A58" s="118" t="s">
        <v>4</v>
      </c>
      <c r="B58" s="117"/>
      <c r="C58" s="117"/>
      <c r="D58" s="116"/>
      <c r="E58" s="20">
        <f>E29+E39+E49+E57</f>
        <v>0</v>
      </c>
    </row>
    <row r="59" spans="1:5" ht="15" thickTop="1" x14ac:dyDescent="0.3">
      <c r="A59" s="19"/>
      <c r="B59" s="18"/>
      <c r="C59" s="18"/>
      <c r="D59" s="17"/>
      <c r="E59" s="16"/>
    </row>
    <row r="60" spans="1:5" x14ac:dyDescent="0.3">
      <c r="A60" s="19"/>
      <c r="B60" s="169" t="s">
        <v>155</v>
      </c>
      <c r="C60" s="169"/>
      <c r="D60" s="169"/>
      <c r="E60" s="115">
        <v>1.25</v>
      </c>
    </row>
    <row r="61" spans="1:5" ht="15" thickBot="1" x14ac:dyDescent="0.35">
      <c r="A61" s="19"/>
      <c r="B61" s="10"/>
      <c r="C61" s="10"/>
      <c r="D61" s="10"/>
      <c r="E61" s="9"/>
    </row>
    <row r="62" spans="1:5" ht="19.2" thickTop="1" thickBot="1" x14ac:dyDescent="0.35">
      <c r="A62" s="114" t="s">
        <v>2</v>
      </c>
      <c r="B62" s="183" t="s">
        <v>154</v>
      </c>
      <c r="C62" s="184"/>
      <c r="D62" s="184"/>
      <c r="E62" s="113">
        <f>E58*E60</f>
        <v>0</v>
      </c>
    </row>
    <row r="63" spans="1:5" ht="15" thickTop="1" x14ac:dyDescent="0.3">
      <c r="A63" s="6"/>
    </row>
    <row r="64" spans="1:5" s="3" customFormat="1" x14ac:dyDescent="0.3">
      <c r="A64" s="6"/>
      <c r="D64" s="2"/>
      <c r="E64" s="1"/>
    </row>
    <row r="65" spans="1:5" s="3" customFormat="1" x14ac:dyDescent="0.3">
      <c r="A65" s="6"/>
      <c r="D65" s="2"/>
      <c r="E65" s="1"/>
    </row>
    <row r="66" spans="1:5" s="3" customFormat="1" x14ac:dyDescent="0.3">
      <c r="A66" s="6"/>
      <c r="D66" s="2"/>
      <c r="E66" s="1"/>
    </row>
    <row r="67" spans="1:5" s="3" customFormat="1" x14ac:dyDescent="0.3">
      <c r="A67" s="6"/>
      <c r="D67" s="2"/>
      <c r="E67" s="1"/>
    </row>
    <row r="68" spans="1:5" s="3" customFormat="1" x14ac:dyDescent="0.3">
      <c r="A68" s="6"/>
      <c r="D68" s="2"/>
      <c r="E68" s="1"/>
    </row>
    <row r="69" spans="1:5" s="3" customFormat="1" x14ac:dyDescent="0.3">
      <c r="A69" s="6"/>
      <c r="D69" s="2"/>
      <c r="E69" s="1"/>
    </row>
    <row r="70" spans="1:5" s="3" customFormat="1" x14ac:dyDescent="0.3">
      <c r="A70" s="6"/>
      <c r="D70" s="2"/>
      <c r="E70" s="1"/>
    </row>
    <row r="71" spans="1:5" s="3" customFormat="1" x14ac:dyDescent="0.3">
      <c r="A71" s="6"/>
      <c r="D71" s="2"/>
      <c r="E71" s="1"/>
    </row>
    <row r="72" spans="1:5" s="3" customFormat="1" x14ac:dyDescent="0.3">
      <c r="A72" s="6"/>
      <c r="D72" s="2"/>
      <c r="E72" s="1"/>
    </row>
    <row r="73" spans="1:5" s="3" customFormat="1" x14ac:dyDescent="0.3">
      <c r="A73" s="6"/>
      <c r="D73" s="2"/>
      <c r="E73" s="1"/>
    </row>
    <row r="74" spans="1:5" s="3" customFormat="1" x14ac:dyDescent="0.3">
      <c r="A74" s="6"/>
      <c r="D74" s="2"/>
      <c r="E74" s="1"/>
    </row>
  </sheetData>
  <sheetProtection algorithmName="SHA-512" hashValue="/BMWNZS+TQltC/aO3/rZEvS81/D3Nes5nh2xRLPWZcUHv8SvYX6fjdLreyI4neW7rmQE5a2u2mzErWFmFYu9Rw==" saltValue="fGydMJI8vzF5clBRu3Xcog==" spinCount="100000" sheet="1" insertRows="0" selectLockedCells="1"/>
  <mergeCells count="14">
    <mergeCell ref="D1:E1"/>
    <mergeCell ref="D2:E2"/>
    <mergeCell ref="D3:E3"/>
    <mergeCell ref="B6:E6"/>
    <mergeCell ref="B7:E7"/>
    <mergeCell ref="B60:D60"/>
    <mergeCell ref="B62:D62"/>
    <mergeCell ref="A8:E8"/>
    <mergeCell ref="A10:E10"/>
    <mergeCell ref="A12:E12"/>
    <mergeCell ref="A13:E13"/>
    <mergeCell ref="A30:E30"/>
    <mergeCell ref="A40:E40"/>
    <mergeCell ref="A50:E50"/>
  </mergeCells>
  <pageMargins left="0.5" right="0.5" top="0.5" bottom="0.5" header="0.3" footer="0.3"/>
  <pageSetup scale="88" fitToHeight="0" orientation="portrait" r:id="rId1"/>
  <headerFooter>
    <oddFooter>&amp;L&amp;"-,Italic"&amp;9Last update:  06-2024&amp;RPage &amp;P</oddFooter>
  </headerFooter>
  <rowBreaks count="1" manualBreakCount="1">
    <brk id="4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c538b4-747f-4ce3-ae79-861c4dabdf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60E85BF28DD4FA6B8D6131B1B43E8" ma:contentTypeVersion="14" ma:contentTypeDescription="Create a new document." ma:contentTypeScope="" ma:versionID="48d5aa4604784fb314ca115184c208f6">
  <xsd:schema xmlns:xsd="http://www.w3.org/2001/XMLSchema" xmlns:xs="http://www.w3.org/2001/XMLSchema" xmlns:p="http://schemas.microsoft.com/office/2006/metadata/properties" xmlns:ns3="fec538b4-747f-4ce3-ae79-861c4dabdfd0" xmlns:ns4="cefc3e3e-77e0-4d10-8433-6ade81a36654" targetNamespace="http://schemas.microsoft.com/office/2006/metadata/properties" ma:root="true" ma:fieldsID="df470bb1dab1db48a716eddfd6a5ba80" ns3:_="" ns4:_="">
    <xsd:import namespace="fec538b4-747f-4ce3-ae79-861c4dabdfd0"/>
    <xsd:import namespace="cefc3e3e-77e0-4d10-8433-6ade81a366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538b4-747f-4ce3-ae79-861c4dabd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c3e3e-77e0-4d10-8433-6ade81a3665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C560EC-68D0-47C5-948B-11100C74B9E6}">
  <ds:schemaRefs>
    <ds:schemaRef ds:uri="cefc3e3e-77e0-4d10-8433-6ade81a36654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fec538b4-747f-4ce3-ae79-861c4dabdfd0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72AAA9-9629-43B0-911E-BFE85CDEA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538b4-747f-4ce3-ae79-861c4dabdfd0"/>
    <ds:schemaRef ds:uri="cefc3e3e-77e0-4d10-8433-6ade81a36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079C0-6496-4B9A-A3BD-5AA256E991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Warranty Bond Worksheet</vt:lpstr>
      <vt:lpstr>Performance Bond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Stephenson</dc:creator>
  <cp:lastModifiedBy>Jean Weatherman</cp:lastModifiedBy>
  <cp:lastPrinted>2024-06-10T13:42:58Z</cp:lastPrinted>
  <dcterms:created xsi:type="dcterms:W3CDTF">2023-03-03T14:41:45Z</dcterms:created>
  <dcterms:modified xsi:type="dcterms:W3CDTF">2024-06-14T11:00:24Z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0x0101004FF60E85BF28DD4FA6B8D6131B1B43E8</vt:lpwstr>
  </property>
</Properties>
</file>